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mpfi\Desktop\"/>
    </mc:Choice>
  </mc:AlternateContent>
  <workbookProtection workbookAlgorithmName="SHA-512" workbookHashValue="4/XyXRStwSjfXq9yBANufMelTsgCu6a+6P49bcQb7Fjc+/51Vbf9aSvx8auDlv8Uy8jhxLdNhD04ng/vxb4W4w==" workbookSaltValue="ukOWEWQyLR6kGRw3KzJiKw==" workbookSpinCount="100000" lockStructure="1"/>
  <bookViews>
    <workbookView xWindow="1770" yWindow="-105" windowWidth="18855" windowHeight="13875" firstSheet="1" activeTab="1"/>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R15" i="1"/>
  <c r="Z15" i="1"/>
  <c r="P15" i="1"/>
  <c r="O15" i="1"/>
  <c r="T15" i="1"/>
  <c r="U15" i="1"/>
  <c r="J15" i="1"/>
  <c r="I15" i="1"/>
  <c r="S15" i="1"/>
  <c r="Y15" i="1"/>
  <c r="Q15" i="1"/>
  <c r="V15" i="1"/>
  <c r="L15" i="1"/>
  <c r="N15" i="1"/>
  <c r="AB15" i="1"/>
  <c r="M15" i="1"/>
  <c r="X15" i="1"/>
  <c r="AA15" i="1"/>
  <c r="AC15" i="1"/>
  <c r="W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1" i="1" a="1"/>
  <c r="A105" i="1" a="1"/>
  <c r="A127" i="1" a="1"/>
  <c r="A25" i="1" a="1"/>
  <c r="A112" i="1" a="1"/>
  <c r="A147" i="1" a="1"/>
  <c r="A208" i="1" a="1"/>
  <c r="A172" i="1" a="1"/>
  <c r="A26" i="1" a="1"/>
  <c r="A199" i="1" a="1"/>
  <c r="A104" i="1" a="1"/>
  <c r="A68" i="1" a="1"/>
  <c r="A144" i="1" a="1"/>
  <c r="A145" i="1" a="1"/>
  <c r="A102" i="1" a="1"/>
  <c r="A186" i="1" a="1"/>
  <c r="A150" i="1" a="1"/>
  <c r="A167" i="1" a="1"/>
  <c r="A106" i="1" a="1"/>
  <c r="A116" i="1" a="1"/>
  <c r="A135" i="1" a="1"/>
  <c r="A45" i="1" a="1"/>
  <c r="A205" i="1" a="1"/>
  <c r="A27" i="1" a="1"/>
  <c r="AT15" i="1"/>
  <c r="A34" i="1" a="1"/>
  <c r="A189" i="1" a="1"/>
  <c r="A62" i="1" a="1"/>
  <c r="A93" i="1" a="1"/>
  <c r="A48" i="1" a="1"/>
  <c r="A98" i="1" a="1"/>
  <c r="A163" i="1" a="1"/>
  <c r="A183" i="1" a="1"/>
  <c r="AK15" i="1"/>
  <c r="A79" i="1" a="1"/>
  <c r="A210" i="1" a="1"/>
  <c r="A197" i="1" a="1"/>
  <c r="A134" i="1" a="1"/>
  <c r="A89" i="1" a="1"/>
  <c r="A154" i="1" a="1"/>
  <c r="A55" i="1" a="1"/>
  <c r="A209" i="1" a="1"/>
  <c r="A87" i="1" a="1"/>
  <c r="A86" i="1" a="1"/>
  <c r="A206" i="1" a="1"/>
  <c r="A170" i="1" a="1"/>
  <c r="A180" i="1" a="1"/>
  <c r="A83" i="1" a="1"/>
  <c r="A108" i="1" a="1"/>
  <c r="A73" i="1" a="1"/>
  <c r="A148" i="1" a="1"/>
  <c r="A33" i="1" a="1"/>
  <c r="A85" i="1" a="1"/>
  <c r="A16" i="1" a="1"/>
  <c r="A179" i="1" a="1"/>
  <c r="A111" i="1" a="1"/>
  <c r="A191" i="1" a="1"/>
  <c r="AF15" i="1"/>
  <c r="AN15" i="1"/>
  <c r="A71" i="1" a="1"/>
  <c r="A193" i="1" a="1"/>
  <c r="A140" i="1" a="1"/>
  <c r="A146" i="1" a="1"/>
  <c r="A65" i="1" a="1"/>
  <c r="A63" i="1" a="1"/>
  <c r="A215" i="1" a="1"/>
  <c r="A185" i="1" a="1"/>
  <c r="A37" i="1" a="1"/>
  <c r="A123" i="1" a="1"/>
  <c r="A128" i="1" a="1"/>
  <c r="A204" i="1" a="1"/>
  <c r="A97" i="1" a="1"/>
  <c r="A77" i="1" a="1"/>
  <c r="A162" i="1" a="1"/>
  <c r="A23" i="1" a="1"/>
  <c r="A58" i="1" a="1"/>
  <c r="A81" i="1" a="1"/>
  <c r="A143" i="1" a="1"/>
  <c r="A20" i="1" a="1"/>
  <c r="A57" i="1" a="1"/>
  <c r="A138" i="1" a="1"/>
  <c r="A21" i="1" a="1"/>
  <c r="A114" i="1" a="1"/>
  <c r="A19" i="1" a="1"/>
  <c r="A174" i="1" a="1"/>
  <c r="A64" i="1" a="1"/>
  <c r="A115" i="1" a="1"/>
  <c r="A190" i="1" a="1"/>
  <c r="AL15" i="1"/>
  <c r="A121" i="1" a="1"/>
  <c r="A166" i="1" a="1"/>
  <c r="A70" i="1" a="1"/>
  <c r="A32" i="1" a="1"/>
  <c r="A100" i="1" a="1"/>
  <c r="A213" i="1" a="1"/>
  <c r="A120" i="1" a="1"/>
  <c r="A157" i="1" a="1"/>
  <c r="A22" i="1" a="1"/>
  <c r="A173" i="1" a="1"/>
  <c r="A41" i="1" a="1"/>
  <c r="A169" i="1" a="1"/>
  <c r="A75" i="1" a="1"/>
  <c r="A182" i="1" a="1"/>
  <c r="A66" i="1" a="1"/>
  <c r="A137" i="1" a="1"/>
  <c r="A159" i="1" a="1"/>
  <c r="A109" i="1" a="1"/>
  <c r="A152" i="1" a="1"/>
  <c r="A39" i="1" a="1"/>
  <c r="A90" i="1" a="1"/>
  <c r="A107" i="1" a="1"/>
  <c r="A160" i="1" a="1"/>
  <c r="A203" i="1" a="1"/>
  <c r="A40" i="1" a="1"/>
  <c r="A119" i="1" a="1"/>
  <c r="A192" i="1" a="1"/>
  <c r="AH15" i="1"/>
  <c r="AO15" i="1"/>
  <c r="A196" i="1" a="1"/>
  <c r="A101" i="1" a="1"/>
  <c r="A136" i="1" a="1"/>
  <c r="A110" i="1" a="1"/>
  <c r="A175" i="1" a="1"/>
  <c r="A201" i="1" a="1"/>
  <c r="A142" i="1" a="1"/>
  <c r="A126" i="1" a="1"/>
  <c r="A88" i="1" a="1"/>
  <c r="A129" i="1" a="1"/>
  <c r="A99" i="1" a="1"/>
  <c r="A178" i="1" a="1"/>
  <c r="A139" i="1" a="1"/>
  <c r="AP15" i="1"/>
  <c r="A103" i="1" a="1"/>
  <c r="A74" i="1" a="1"/>
  <c r="A69" i="1" a="1"/>
  <c r="A151" i="1" a="1"/>
  <c r="A113" i="1" a="1"/>
  <c r="AQ15" i="1"/>
  <c r="AS15" i="1"/>
  <c r="A141" i="1" a="1"/>
  <c r="A35" i="1" a="1"/>
  <c r="A49" i="1" a="1"/>
  <c r="A181" i="1" a="1"/>
  <c r="AE15" i="1"/>
  <c r="A130" i="1" a="1"/>
  <c r="A149" i="1" a="1"/>
  <c r="A54" i="1" a="1"/>
  <c r="A168" i="1" a="1"/>
  <c r="A76" i="1" a="1"/>
  <c r="A29" i="1" a="1"/>
  <c r="A198" i="1" a="1"/>
  <c r="A84" i="1" a="1"/>
  <c r="A164" i="1" a="1"/>
  <c r="A94" i="1" a="1"/>
  <c r="A18" i="1" a="1"/>
  <c r="A184" i="1" a="1"/>
  <c r="A56" i="1" a="1"/>
  <c r="A124" i="1" a="1"/>
  <c r="A30" i="1" a="1"/>
  <c r="A187" i="1" a="1"/>
  <c r="A118" i="1" a="1"/>
  <c r="A60" i="1" a="1"/>
  <c r="A78" i="1" a="1"/>
  <c r="A176" i="1" a="1"/>
  <c r="A153" i="1" a="1"/>
  <c r="A28" i="1" a="1"/>
  <c r="A43" i="1" a="1"/>
  <c r="A177" i="1" a="1"/>
  <c r="A125" i="1" a="1"/>
  <c r="A132" i="1" a="1"/>
  <c r="A211" i="1" a="1"/>
  <c r="A91" i="1" a="1"/>
  <c r="A207" i="1" a="1"/>
  <c r="AI15" i="1"/>
  <c r="A165" i="1" a="1"/>
  <c r="A212" i="1" a="1"/>
  <c r="A53" i="1" a="1"/>
  <c r="A92" i="1" a="1"/>
  <c r="A67" i="1" a="1"/>
  <c r="A82" i="1" a="1"/>
  <c r="A156" i="1" a="1"/>
  <c r="A158" i="1" a="1"/>
  <c r="A188" i="1" a="1"/>
  <c r="A195" i="1" a="1"/>
  <c r="A133" i="1" a="1"/>
  <c r="AD15" i="1"/>
  <c r="A122" i="1" a="1"/>
  <c r="A95" i="1" a="1"/>
  <c r="A59" i="1" a="1"/>
  <c r="A52" i="1" a="1"/>
  <c r="A24" i="1" a="1"/>
  <c r="A36" i="1" a="1"/>
  <c r="A202" i="1" a="1"/>
  <c r="AM15" i="1"/>
  <c r="A72" i="1" a="1"/>
  <c r="A155" i="1" a="1"/>
  <c r="A200" i="1" a="1"/>
  <c r="A194" i="1" a="1"/>
  <c r="A214" i="1" a="1"/>
  <c r="A80" i="1" a="1"/>
  <c r="A61" i="1" a="1"/>
  <c r="A44" i="1" a="1"/>
  <c r="A50" i="1" a="1"/>
  <c r="A31" i="1" a="1"/>
  <c r="AR15" i="1"/>
  <c r="A131" i="1" a="1"/>
  <c r="A47" i="1" a="1"/>
  <c r="A17" i="1" a="1"/>
  <c r="A117" i="1" a="1"/>
  <c r="A46" i="1" a="1"/>
  <c r="A38" i="1" a="1"/>
  <c r="A96" i="1" a="1"/>
  <c r="A161" i="1" a="1"/>
  <c r="A51" i="1" a="1"/>
  <c r="AG15" i="1"/>
  <c r="A42" i="1" a="1"/>
  <c r="A163" i="1" l="1"/>
  <c r="AH163" i="1" s="1"/>
  <c r="A179" i="1"/>
  <c r="B177" i="9"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R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Q139" i="1" s="1"/>
  <c r="A78" i="1"/>
  <c r="AJ78" i="1" s="1"/>
  <c r="A92" i="1"/>
  <c r="AL92" i="1" s="1"/>
  <c r="A109" i="1"/>
  <c r="AI109" i="1" s="1"/>
  <c r="A135" i="1"/>
  <c r="AE135" i="1" s="1"/>
  <c r="A33" i="1"/>
  <c r="A24" i="8" s="1"/>
  <c r="G24" i="8" s="1"/>
  <c r="A150" i="1"/>
  <c r="A24" i="1"/>
  <c r="A22" i="9" s="1"/>
  <c r="A162" i="1"/>
  <c r="AG162" i="1" s="1"/>
  <c r="A197" i="1"/>
  <c r="AL197" i="1" s="1"/>
  <c r="A50" i="1"/>
  <c r="AH50" i="1" s="1"/>
  <c r="A104" i="1"/>
  <c r="AG104" i="1" s="1"/>
  <c r="A75" i="1"/>
  <c r="AM75" i="1" s="1"/>
  <c r="A46" i="1"/>
  <c r="AM46" i="1" s="1"/>
  <c r="A188" i="1"/>
  <c r="AD188" i="1" s="1"/>
  <c r="A177" i="1"/>
  <c r="B175" i="9" s="1"/>
  <c r="A38" i="1"/>
  <c r="B36" i="9"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O161" i="1" l="1"/>
  <c r="B137" i="9"/>
  <c r="AT38" i="1"/>
  <c r="AG179" i="1"/>
  <c r="AI38" i="1"/>
  <c r="AP151" i="1"/>
  <c r="AH17" i="1"/>
  <c r="AJ17" i="1"/>
  <c r="AR17" i="1"/>
  <c r="AE17" i="1"/>
  <c r="AO17" i="1"/>
  <c r="B15" i="9"/>
  <c r="AN153" i="1"/>
  <c r="AF167" i="1"/>
  <c r="AR21" i="1"/>
  <c r="AT167" i="1"/>
  <c r="B12" i="8"/>
  <c r="S22" i="9"/>
  <c r="AP165" i="1"/>
  <c r="B163" i="9"/>
  <c r="AK161" i="1"/>
  <c r="AI155" i="1"/>
  <c r="AJ30" i="1"/>
  <c r="AS151" i="1"/>
  <c r="AN165" i="1"/>
  <c r="AN30" i="1"/>
  <c r="AM204" i="1"/>
  <c r="AT17" i="1"/>
  <c r="AE165" i="1"/>
  <c r="AI153" i="1"/>
  <c r="AL204" i="1"/>
  <c r="AD104" i="1"/>
  <c r="AT179" i="1"/>
  <c r="AS204" i="1"/>
  <c r="AL137" i="1"/>
  <c r="A156" i="8"/>
  <c r="G156" i="8" s="1"/>
  <c r="AS155" i="1"/>
  <c r="AR158" i="1"/>
  <c r="B123" i="8"/>
  <c r="A66" i="8"/>
  <c r="G66" i="8" s="1"/>
  <c r="B156" i="8"/>
  <c r="AD21" i="1"/>
  <c r="AP161" i="1"/>
  <c r="AH132" i="1"/>
  <c r="AQ161" i="1"/>
  <c r="AQ165" i="1"/>
  <c r="AJ155" i="1"/>
  <c r="AH179" i="1"/>
  <c r="A159" i="9"/>
  <c r="S159" i="9" s="1"/>
  <c r="AQ204" i="1"/>
  <c r="AM104" i="1"/>
  <c r="B81" i="8"/>
  <c r="AJ183" i="1"/>
  <c r="AQ153" i="1"/>
  <c r="AH116" i="1"/>
  <c r="AE183" i="1"/>
  <c r="B102" i="9"/>
  <c r="AT153" i="1"/>
  <c r="AG153" i="1"/>
  <c r="AN104" i="1"/>
  <c r="AF137" i="1"/>
  <c r="AG38" i="1"/>
  <c r="AH167" i="1"/>
  <c r="AI17" i="1"/>
  <c r="A15" i="9"/>
  <c r="S15" i="9" s="1"/>
  <c r="AI165" i="1"/>
  <c r="AK104" i="1"/>
  <c r="AJ151" i="1"/>
  <c r="AK153" i="1"/>
  <c r="AJ179" i="1"/>
  <c r="AK162" i="1"/>
  <c r="AJ94" i="1"/>
  <c r="AE139" i="1"/>
  <c r="AO179" i="1"/>
  <c r="AD161" i="1"/>
  <c r="B158" i="8"/>
  <c r="AK17" i="1"/>
  <c r="B8" i="8"/>
  <c r="AD165" i="1"/>
  <c r="AO21" i="1"/>
  <c r="AD151" i="1"/>
  <c r="AH153" i="1"/>
  <c r="AF179" i="1"/>
  <c r="A160" i="9"/>
  <c r="S160" i="9" s="1"/>
  <c r="B30" i="9"/>
  <c r="AN139" i="1"/>
  <c r="AR167" i="1"/>
  <c r="AL104" i="1"/>
  <c r="B149" i="9"/>
  <c r="AR153" i="1"/>
  <c r="AM38" i="1"/>
  <c r="AI162" i="1"/>
  <c r="AD139" i="1"/>
  <c r="AI39" i="1"/>
  <c r="AP167" i="1"/>
  <c r="AQ116" i="1"/>
  <c r="AS167" i="1"/>
  <c r="AK167" i="1"/>
  <c r="A102" i="9"/>
  <c r="S102" i="9" s="1"/>
  <c r="A142" i="8"/>
  <c r="G142" i="8" s="1"/>
  <c r="AF153" i="1"/>
  <c r="AJ38" i="1"/>
  <c r="AS162" i="1"/>
  <c r="AT202" i="1"/>
  <c r="AM199" i="1"/>
  <c r="AE167" i="1"/>
  <c r="B95" i="8"/>
  <c r="A19" i="9"/>
  <c r="S19" i="9" s="1"/>
  <c r="AK151" i="1"/>
  <c r="AJ153" i="1"/>
  <c r="AO153" i="1"/>
  <c r="A36" i="9"/>
  <c r="S36" i="9" s="1"/>
  <c r="AE94" i="1"/>
  <c r="AD166" i="1"/>
  <c r="AL162" i="1"/>
  <c r="AH139" i="1"/>
  <c r="AF39" i="1"/>
  <c r="AR38" i="1"/>
  <c r="AD162" i="1"/>
  <c r="AI65" i="1"/>
  <c r="AO167" i="1"/>
  <c r="AK39" i="1"/>
  <c r="AS206" i="1"/>
  <c r="AF165" i="1"/>
  <c r="AT104" i="1"/>
  <c r="AN21" i="1"/>
  <c r="AP155" i="1"/>
  <c r="AM151" i="1"/>
  <c r="AI179" i="1"/>
  <c r="AO38" i="1"/>
  <c r="AM162" i="1"/>
  <c r="AG161" i="1"/>
  <c r="AJ161" i="1"/>
  <c r="AJ204" i="1"/>
  <c r="AD129" i="1"/>
  <c r="B28" i="9"/>
  <c r="AF151" i="1"/>
  <c r="AE162" i="1"/>
  <c r="AL167" i="1"/>
  <c r="AG39" i="1"/>
  <c r="AR135" i="1"/>
  <c r="AM165" i="1"/>
  <c r="AO104" i="1"/>
  <c r="AJ21" i="1"/>
  <c r="A153" i="9"/>
  <c r="S153" i="9" s="1"/>
  <c r="A199" i="8"/>
  <c r="G199" i="8" s="1"/>
  <c r="AM77" i="1"/>
  <c r="AQ129" i="1"/>
  <c r="AK30" i="1"/>
  <c r="AS146" i="1"/>
  <c r="AR114" i="1"/>
  <c r="AE206" i="1"/>
  <c r="AP206" i="1"/>
  <c r="A112" i="9"/>
  <c r="S112" i="9" s="1"/>
  <c r="AM137" i="1"/>
  <c r="AR183" i="1"/>
  <c r="AL135" i="1"/>
  <c r="AT183" i="1"/>
  <c r="AH135" i="1"/>
  <c r="AJ141" i="1"/>
  <c r="AH16" i="1"/>
  <c r="AM141" i="1"/>
  <c r="B101" i="9"/>
  <c r="AT105" i="1"/>
  <c r="AG75" i="1"/>
  <c r="B139" i="9"/>
  <c r="AS90" i="1"/>
  <c r="AT69" i="1"/>
  <c r="AJ97" i="1"/>
  <c r="AH183" i="1"/>
  <c r="AK57" i="1"/>
  <c r="AM135" i="1"/>
  <c r="B14" i="9"/>
  <c r="AN183" i="1"/>
  <c r="AN57" i="1"/>
  <c r="A126" i="8"/>
  <c r="G126" i="8" s="1"/>
  <c r="AJ75" i="1"/>
  <c r="AI208" i="1"/>
  <c r="AT90" i="1"/>
  <c r="AJ69" i="1"/>
  <c r="AI16" i="1"/>
  <c r="AF105" i="1"/>
  <c r="AE160" i="1"/>
  <c r="AJ35" i="1"/>
  <c r="AF69" i="1"/>
  <c r="AD183" i="1"/>
  <c r="AS105"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G19" i="9" s="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K199"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M159"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E102" i="9"/>
  <c r="M102" i="9"/>
  <c r="K102" i="9"/>
  <c r="N102" i="9"/>
  <c r="Q102" i="9"/>
  <c r="J102" i="9"/>
  <c r="G102" i="9"/>
  <c r="I102" i="9"/>
  <c r="L102" i="9"/>
  <c r="F102" i="9"/>
  <c r="O112" i="9"/>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03" i="8" a="1"/>
  <c r="E132" i="8" a="1"/>
  <c r="E35" i="8" a="1"/>
  <c r="E157" i="8" a="1"/>
  <c r="E9" i="8" a="1"/>
  <c r="E146" i="8" a="1"/>
  <c r="E160" i="8" a="1"/>
  <c r="E133" i="8" a="1"/>
  <c r="E190" i="8" a="1"/>
  <c r="E156" i="8" a="1"/>
  <c r="E44" i="8" a="1"/>
  <c r="E75" i="8" a="1"/>
  <c r="E205" i="8" a="1"/>
  <c r="E200" i="8" a="1"/>
  <c r="E29" i="8" a="1"/>
  <c r="E74" i="8" a="1"/>
  <c r="E82" i="8" a="1"/>
  <c r="E151" i="8" a="1"/>
  <c r="E27" i="8" a="1"/>
  <c r="E23" i="8" a="1"/>
  <c r="E30" i="8" a="1"/>
  <c r="E68" i="8" a="1"/>
  <c r="E31" i="8" a="1"/>
  <c r="E95" i="8" a="1"/>
  <c r="E199" i="8" a="1"/>
  <c r="E65" i="8" a="1"/>
  <c r="E155" i="8" a="1"/>
  <c r="E66" i="8" a="1"/>
  <c r="E154" i="8" a="1"/>
  <c r="E125" i="8" a="1"/>
  <c r="E189" i="8" a="1"/>
  <c r="E193" i="8" a="1"/>
  <c r="E12" i="8" a="1"/>
  <c r="E21" i="8" a="1"/>
  <c r="E168" i="8" a="1"/>
  <c r="E175" i="8" a="1"/>
  <c r="E119" i="8" a="1"/>
  <c r="E126" i="8" a="1"/>
  <c r="E48" i="8" a="1"/>
  <c r="E137" i="8" a="1"/>
  <c r="E107" i="8" a="1"/>
  <c r="E94" i="8" a="1"/>
  <c r="E123" i="8" a="1"/>
  <c r="E99" i="8" a="1"/>
  <c r="E81" i="8" a="1"/>
  <c r="E92" i="8" a="1"/>
  <c r="E88" i="8" a="1"/>
  <c r="E7" i="8" a="1"/>
  <c r="E150" i="8" a="1"/>
  <c r="E178" i="8" a="1"/>
  <c r="E174" i="8" a="1"/>
  <c r="E149" i="8" a="1"/>
  <c r="E108" i="8" a="1"/>
  <c r="E59" i="8" a="1"/>
  <c r="E162" i="8" a="1"/>
  <c r="E145" i="8" a="1"/>
  <c r="E184" i="8" a="1"/>
  <c r="E112" i="8" a="1"/>
  <c r="E177" i="8" a="1"/>
  <c r="E18" i="8" a="1"/>
  <c r="E135" i="8" a="1"/>
  <c r="E71" i="8" a="1"/>
  <c r="E113" i="8" a="1"/>
  <c r="E22" i="8" a="1"/>
  <c r="E61" i="8" a="1"/>
  <c r="E143" i="8" a="1"/>
  <c r="E58" i="8" a="1"/>
  <c r="E114" i="8" a="1"/>
  <c r="E53" i="8" a="1"/>
  <c r="E45" i="8" a="1"/>
  <c r="E164" i="8" a="1"/>
  <c r="E101" i="8" a="1"/>
  <c r="E93" i="8" a="1"/>
  <c r="E169" i="8" a="1"/>
  <c r="E117" i="8" a="1"/>
  <c r="E91" i="8" a="1"/>
  <c r="E181" i="8" a="1"/>
  <c r="E147" i="8" a="1"/>
  <c r="E179" i="8" a="1"/>
  <c r="E26" i="8" a="1"/>
  <c r="E98" i="8" a="1"/>
  <c r="E167" i="8" a="1"/>
  <c r="E72" i="8" a="1"/>
  <c r="E134" i="8" a="1"/>
  <c r="E138" i="8" a="1"/>
  <c r="E204" i="8" a="1"/>
  <c r="E87" i="8" a="1"/>
  <c r="E165" i="8" a="1"/>
  <c r="E171" i="8" a="1"/>
  <c r="E172" i="8" a="1"/>
  <c r="E159" i="8" a="1"/>
  <c r="E86" i="8" a="1"/>
  <c r="E116" i="8" a="1"/>
  <c r="E54" i="8" a="1"/>
  <c r="E84" i="8" a="1"/>
  <c r="E19" i="8" a="1"/>
  <c r="E77" i="8" a="1"/>
  <c r="E56" i="8" a="1"/>
  <c r="E63" i="8" a="1"/>
  <c r="E34" i="8" a="1"/>
  <c r="K66" i="8" l="1"/>
  <c r="D52" i="8"/>
  <c r="R36" i="9"/>
  <c r="I190" i="8"/>
  <c r="I30" i="8"/>
  <c r="K140" i="8"/>
  <c r="Q58" i="9"/>
  <c r="D137" i="8"/>
  <c r="C36" i="9"/>
  <c r="I66" i="8"/>
  <c r="F173" i="8"/>
  <c r="F155" i="8"/>
  <c r="F58" i="9"/>
  <c r="J52" i="8"/>
  <c r="Q28" i="9"/>
  <c r="I58" i="9"/>
  <c r="Q36" i="9"/>
  <c r="E28" i="9"/>
  <c r="D75" i="9"/>
  <c r="H75" i="9"/>
  <c r="J75" i="9"/>
  <c r="F66" i="8"/>
  <c r="C155" i="8"/>
  <c r="C126" i="8"/>
  <c r="H58" i="9"/>
  <c r="C47" i="9"/>
  <c r="H173" i="8"/>
  <c r="L36" i="9"/>
  <c r="I126" i="8"/>
  <c r="O47" i="9"/>
  <c r="I173" i="8"/>
  <c r="I75" i="9"/>
  <c r="M28" i="9"/>
  <c r="I36" i="9"/>
  <c r="F140" i="8"/>
  <c r="H30" i="8"/>
  <c r="K47" i="9"/>
  <c r="M94" i="9"/>
  <c r="F28" i="9"/>
  <c r="O36" i="9"/>
  <c r="J44" i="8"/>
  <c r="I94" i="9"/>
  <c r="D190" i="8"/>
  <c r="H28" i="9"/>
  <c r="P75" i="9"/>
  <c r="C30" i="8"/>
  <c r="K44" i="8"/>
  <c r="M58" i="9"/>
  <c r="J47" i="9"/>
  <c r="G47" i="9"/>
  <c r="K173" i="8"/>
  <c r="C28" i="9"/>
  <c r="E75" i="9"/>
  <c r="D36" i="9"/>
  <c r="J36" i="9"/>
  <c r="F153" i="9"/>
  <c r="F107" i="8"/>
  <c r="K126" i="8"/>
  <c r="C173" i="8"/>
  <c r="I99" i="8"/>
  <c r="G36" i="9"/>
  <c r="F30" i="8"/>
  <c r="K58" i="9"/>
  <c r="F47" i="9"/>
  <c r="Q94" i="9"/>
  <c r="F190" i="8"/>
  <c r="I28" i="9"/>
  <c r="K75" i="9"/>
  <c r="P36" i="9"/>
  <c r="J155" i="8"/>
  <c r="K153" i="9"/>
  <c r="H168" i="8"/>
  <c r="C66" i="8"/>
  <c r="H126" i="8"/>
  <c r="I44" i="8"/>
  <c r="Q47" i="9"/>
  <c r="R94" i="9"/>
  <c r="J190" i="8"/>
  <c r="D173" i="8"/>
  <c r="J28" i="9"/>
  <c r="H99" i="8"/>
  <c r="F75" i="9"/>
  <c r="F36" i="9"/>
  <c r="N36" i="9"/>
  <c r="K155" i="8"/>
  <c r="H127" i="8"/>
  <c r="J168" i="8"/>
  <c r="H66" i="8"/>
  <c r="J126" i="8"/>
  <c r="J30" i="8"/>
  <c r="F44" i="8"/>
  <c r="N58" i="9"/>
  <c r="N47" i="9"/>
  <c r="M47" i="9"/>
  <c r="F15" i="9"/>
  <c r="N94" i="9"/>
  <c r="H190" i="8"/>
  <c r="O28" i="9"/>
  <c r="J99" i="8"/>
  <c r="I127" i="8"/>
  <c r="D44" i="8"/>
  <c r="P58" i="9"/>
  <c r="L47" i="9"/>
  <c r="J94" i="9"/>
  <c r="C190" i="8"/>
  <c r="F99" i="8"/>
  <c r="K36" i="9"/>
  <c r="D155" i="8"/>
  <c r="R159" i="9"/>
  <c r="D126" i="8"/>
  <c r="I159" i="9"/>
  <c r="O75" i="9"/>
  <c r="I155" i="8"/>
  <c r="H140" i="8"/>
  <c r="J173" i="8"/>
  <c r="N28" i="9"/>
  <c r="Q75" i="9"/>
  <c r="M36" i="9"/>
  <c r="J140" i="8"/>
  <c r="J66" i="8"/>
  <c r="D30" i="8"/>
  <c r="E58" i="9"/>
  <c r="J58" i="9"/>
  <c r="E47" i="9"/>
  <c r="H52" i="8"/>
  <c r="L37" i="9"/>
  <c r="D28" i="9"/>
  <c r="K28" i="9"/>
  <c r="C99" i="8"/>
  <c r="N75" i="9"/>
  <c r="L75" i="9"/>
  <c r="H36" i="9"/>
  <c r="E36" i="9"/>
  <c r="H155" i="8"/>
  <c r="C159" i="9"/>
  <c r="D140" i="8"/>
  <c r="D66" i="8"/>
  <c r="F126" i="8"/>
  <c r="K30" i="8"/>
  <c r="D58" i="9"/>
  <c r="R58" i="9"/>
  <c r="P47" i="9"/>
  <c r="O159" i="9"/>
  <c r="N15" i="9"/>
  <c r="O101" i="9"/>
  <c r="H151" i="9"/>
  <c r="G159" i="9"/>
  <c r="D159" i="9"/>
  <c r="K101" i="9"/>
  <c r="F151" i="9"/>
  <c r="P159" i="9"/>
  <c r="L159" i="9"/>
  <c r="C153" i="9"/>
  <c r="Q159" i="9"/>
  <c r="E159" i="9"/>
  <c r="J37" i="9"/>
  <c r="M153" i="9"/>
  <c r="H159" i="9"/>
  <c r="D107" i="8"/>
  <c r="C15" i="9"/>
  <c r="H15" i="9"/>
  <c r="J59" i="9"/>
  <c r="F12" i="8"/>
  <c r="D181" i="9"/>
  <c r="M181" i="9"/>
  <c r="C81" i="8"/>
  <c r="K15" i="9"/>
  <c r="L153" i="9"/>
  <c r="K159" i="9"/>
  <c r="J159" i="9"/>
  <c r="I158" i="8"/>
  <c r="F101" i="9"/>
  <c r="K37" i="9"/>
  <c r="E153" i="9"/>
  <c r="F159" i="9"/>
  <c r="N159" i="9"/>
  <c r="M25" i="9"/>
  <c r="I15" i="9"/>
  <c r="I160" i="9"/>
  <c r="N19" i="9"/>
  <c r="K162" i="9"/>
  <c r="K156" i="8"/>
  <c r="F94" i="9"/>
  <c r="K52" i="8"/>
  <c r="M55" i="9"/>
  <c r="P28" i="9"/>
  <c r="L28" i="9"/>
  <c r="O102" i="9"/>
  <c r="C102" i="9"/>
  <c r="D99" i="8"/>
  <c r="C75" i="9"/>
  <c r="G75" i="9"/>
  <c r="I142" i="8"/>
  <c r="F156" i="8"/>
  <c r="C140" i="8"/>
  <c r="H44" i="8"/>
  <c r="G58" i="9"/>
  <c r="O58" i="9"/>
  <c r="H47" i="9"/>
  <c r="I47" i="9"/>
  <c r="C160" i="9"/>
  <c r="H102" i="9"/>
  <c r="R102" i="9"/>
  <c r="L94" i="9"/>
  <c r="K160" i="9"/>
  <c r="F19" i="9"/>
  <c r="K190" i="8"/>
  <c r="R28" i="9"/>
  <c r="G28" i="9"/>
  <c r="P102" i="9"/>
  <c r="D102" i="9"/>
  <c r="K99" i="8"/>
  <c r="M75" i="9"/>
  <c r="R75" i="9"/>
  <c r="I140" i="8"/>
  <c r="C44" i="8"/>
  <c r="L58" i="9"/>
  <c r="C58" i="9"/>
  <c r="D47" i="9"/>
  <c r="R47" i="9"/>
  <c r="R19" i="9"/>
  <c r="D160" i="9"/>
  <c r="D19" i="9"/>
  <c r="P160" i="9"/>
  <c r="K82" i="9"/>
  <c r="P19" i="9"/>
  <c r="F60" i="8"/>
  <c r="F160" i="9"/>
  <c r="E55" i="9"/>
  <c r="D82" i="9"/>
  <c r="R160" i="9"/>
  <c r="Q19" i="9"/>
  <c r="G55" i="9"/>
  <c r="G160" i="9"/>
  <c r="C19" i="9"/>
  <c r="F142" i="8"/>
  <c r="J156" i="8"/>
  <c r="M19" i="9"/>
  <c r="K142" i="8"/>
  <c r="F95" i="8"/>
  <c r="P82" i="9"/>
  <c r="L160" i="9"/>
  <c r="M160" i="9"/>
  <c r="L19" i="9"/>
  <c r="O19" i="9"/>
  <c r="C142" i="8"/>
  <c r="C156" i="8"/>
  <c r="O14" i="9"/>
  <c r="M82" i="9"/>
  <c r="H160" i="9"/>
  <c r="Q160" i="9"/>
  <c r="J19" i="9"/>
  <c r="E19" i="9"/>
  <c r="P112" i="9"/>
  <c r="I65" i="8"/>
  <c r="H142" i="8"/>
  <c r="D156" i="8"/>
  <c r="H14" i="9"/>
  <c r="E160" i="9"/>
  <c r="J160" i="9"/>
  <c r="D162" i="9"/>
  <c r="I19" i="9"/>
  <c r="H112" i="9"/>
  <c r="J142" i="8"/>
  <c r="I156" i="8"/>
  <c r="I199" i="8"/>
  <c r="E16" i="9"/>
  <c r="H162" i="9"/>
  <c r="I18" i="9"/>
  <c r="O160" i="9"/>
  <c r="N160" i="9"/>
  <c r="O162" i="9"/>
  <c r="H19" i="9"/>
  <c r="K19" i="9"/>
  <c r="I55" i="9"/>
  <c r="J112" i="9"/>
  <c r="D142" i="8"/>
  <c r="H156" i="8"/>
  <c r="D146" i="8"/>
  <c r="N24" i="9"/>
  <c r="F15" i="8"/>
  <c r="D37" i="9"/>
  <c r="C112" i="9"/>
  <c r="D112" i="9"/>
  <c r="P153" i="9"/>
  <c r="I153" i="9"/>
  <c r="H199" i="8"/>
  <c r="G15" i="9"/>
  <c r="P15" i="9"/>
  <c r="E112" i="9"/>
  <c r="E37" i="9"/>
  <c r="L112" i="9"/>
  <c r="L151" i="9"/>
  <c r="Q153" i="9"/>
  <c r="H153" i="9"/>
  <c r="J189" i="9"/>
  <c r="C199" i="8"/>
  <c r="Q15" i="9"/>
  <c r="L15" i="9"/>
  <c r="F112" i="9"/>
  <c r="H27" i="8"/>
  <c r="M112" i="9"/>
  <c r="K112" i="9"/>
  <c r="G151" i="9"/>
  <c r="O153" i="9"/>
  <c r="J153" i="9"/>
  <c r="J199" i="8"/>
  <c r="O15" i="9"/>
  <c r="R15" i="9"/>
  <c r="O37" i="9"/>
  <c r="P101" i="9"/>
  <c r="C27" i="8"/>
  <c r="I112" i="9"/>
  <c r="R112" i="9"/>
  <c r="D151" i="9"/>
  <c r="D153" i="9"/>
  <c r="G153" i="9"/>
  <c r="D199" i="8"/>
  <c r="J15" i="9"/>
  <c r="E15" i="9"/>
  <c r="G112" i="9"/>
  <c r="D27" i="8"/>
  <c r="J163" i="9"/>
  <c r="G101" i="9"/>
  <c r="I62" i="9"/>
  <c r="C101" i="9"/>
  <c r="N112" i="9"/>
  <c r="Q112" i="9"/>
  <c r="I151" i="9"/>
  <c r="R153" i="9"/>
  <c r="N153" i="9"/>
  <c r="F199" i="8"/>
  <c r="M15" i="9"/>
  <c r="D15" i="9"/>
  <c r="D59" i="9"/>
  <c r="E181" i="9"/>
  <c r="Q181" i="9"/>
  <c r="I132" i="9"/>
  <c r="F7" i="8"/>
  <c r="I120" i="8"/>
  <c r="G130" i="9"/>
  <c r="K83" i="9"/>
  <c r="L181" i="9"/>
  <c r="P181" i="9"/>
  <c r="D182" i="8"/>
  <c r="C207" i="9"/>
  <c r="L204" i="9"/>
  <c r="E132" i="9"/>
  <c r="Q130" i="9"/>
  <c r="J83" i="9"/>
  <c r="F182" i="8"/>
  <c r="I181" i="9"/>
  <c r="Q204" i="9"/>
  <c r="K109" i="8"/>
  <c r="F181" i="9"/>
  <c r="K181" i="9"/>
  <c r="R204" i="9"/>
  <c r="H181" i="9"/>
  <c r="D48" i="8"/>
  <c r="C12" i="8"/>
  <c r="P208" i="9"/>
  <c r="H204" i="9"/>
  <c r="N181" i="9"/>
  <c r="J181" i="9"/>
  <c r="J81" i="8"/>
  <c r="K48" i="8"/>
  <c r="I12" i="8"/>
  <c r="Q14" i="9"/>
  <c r="H95" i="8"/>
  <c r="P162" i="9"/>
  <c r="J55" i="9"/>
  <c r="O55" i="9"/>
  <c r="N14" i="9"/>
  <c r="H60" i="8"/>
  <c r="Q82" i="9"/>
  <c r="G82" i="9"/>
  <c r="E162" i="9"/>
  <c r="M162" i="9"/>
  <c r="R55" i="9"/>
  <c r="L55" i="9"/>
  <c r="F65" i="8"/>
  <c r="R14" i="9"/>
  <c r="L14" i="9"/>
  <c r="H146" i="8"/>
  <c r="I95" i="8"/>
  <c r="J158" i="8"/>
  <c r="K60" i="8"/>
  <c r="E82" i="9"/>
  <c r="C82" i="9"/>
  <c r="G162" i="9"/>
  <c r="I162" i="9"/>
  <c r="H55" i="9"/>
  <c r="K55" i="9"/>
  <c r="J65" i="8"/>
  <c r="G14" i="9"/>
  <c r="F14" i="9"/>
  <c r="J146" i="8"/>
  <c r="D95" i="8"/>
  <c r="H158" i="8"/>
  <c r="J14" i="9"/>
  <c r="D65" i="8"/>
  <c r="C14" i="9"/>
  <c r="F158" i="8"/>
  <c r="C60" i="8"/>
  <c r="I82" i="9"/>
  <c r="F55" i="9"/>
  <c r="C150" i="8"/>
  <c r="C146" i="8"/>
  <c r="K95" i="8"/>
  <c r="C158" i="8"/>
  <c r="I60" i="8"/>
  <c r="F82" i="9"/>
  <c r="O82" i="9"/>
  <c r="L162" i="9"/>
  <c r="J162" i="9"/>
  <c r="D55" i="9"/>
  <c r="Q55" i="9"/>
  <c r="D196" i="9"/>
  <c r="K65" i="8"/>
  <c r="K14" i="9"/>
  <c r="P14" i="9"/>
  <c r="K146" i="8"/>
  <c r="C95" i="8"/>
  <c r="K158" i="8"/>
  <c r="D60" i="8"/>
  <c r="J60" i="8"/>
  <c r="J82" i="9"/>
  <c r="L82" i="9"/>
  <c r="R162" i="9"/>
  <c r="I146" i="8"/>
  <c r="H82" i="9"/>
  <c r="Q162" i="9"/>
  <c r="N162" i="9"/>
  <c r="C55" i="9"/>
  <c r="C65" i="8"/>
  <c r="M14" i="9"/>
  <c r="E14" i="9"/>
  <c r="I85" i="8"/>
  <c r="R82" i="9"/>
  <c r="N82" i="9"/>
  <c r="C162" i="9"/>
  <c r="F162" i="9"/>
  <c r="N55" i="9"/>
  <c r="P55" i="9"/>
  <c r="H196" i="9"/>
  <c r="H65" i="8"/>
  <c r="I14" i="9"/>
  <c r="D14" i="9"/>
  <c r="F146" i="8"/>
  <c r="J95" i="8"/>
  <c r="D158" i="8"/>
  <c r="P135" i="9"/>
  <c r="P163" i="9"/>
  <c r="D101" i="9"/>
  <c r="M101" i="9"/>
  <c r="Q37" i="9"/>
  <c r="R37" i="9"/>
  <c r="K27" i="8"/>
  <c r="N151" i="9"/>
  <c r="K151" i="9"/>
  <c r="J107" i="8"/>
  <c r="R101" i="9"/>
  <c r="I101" i="9"/>
  <c r="N37" i="9"/>
  <c r="M37" i="9"/>
  <c r="I27" i="8"/>
  <c r="J151" i="9"/>
  <c r="R151" i="9"/>
  <c r="I107" i="8"/>
  <c r="J101" i="9"/>
  <c r="E101" i="9"/>
  <c r="H158" i="9"/>
  <c r="P37" i="9"/>
  <c r="C37" i="9"/>
  <c r="F27" i="8"/>
  <c r="P151" i="9"/>
  <c r="Q151" i="9"/>
  <c r="K107" i="8"/>
  <c r="N101" i="9"/>
  <c r="Q101" i="9"/>
  <c r="F37" i="9"/>
  <c r="I37" i="9"/>
  <c r="J27" i="8"/>
  <c r="E151" i="9"/>
  <c r="M151" i="9"/>
  <c r="C107" i="8"/>
  <c r="H101" i="9"/>
  <c r="L101" i="9"/>
  <c r="H37" i="9"/>
  <c r="G37" i="9"/>
  <c r="I30" i="9"/>
  <c r="C151" i="9"/>
  <c r="O151" i="9"/>
  <c r="G165" i="9"/>
  <c r="H107" i="8"/>
  <c r="K8" i="8"/>
  <c r="N200" i="9"/>
  <c r="L163" i="9"/>
  <c r="I8" i="8"/>
  <c r="O163" i="9"/>
  <c r="I163" i="9"/>
  <c r="D163" i="9"/>
  <c r="K201" i="9"/>
  <c r="E165" i="9"/>
  <c r="D151" i="8"/>
  <c r="F163" i="9"/>
  <c r="F165" i="8"/>
  <c r="E163" i="9"/>
  <c r="O201" i="9"/>
  <c r="N17" i="9"/>
  <c r="N111" i="9"/>
  <c r="N163" i="9"/>
  <c r="Q163" i="9"/>
  <c r="J201" i="9"/>
  <c r="D165" i="9"/>
  <c r="K10" i="8"/>
  <c r="F151" i="8"/>
  <c r="C148" i="8"/>
  <c r="C163" i="9"/>
  <c r="I82" i="8"/>
  <c r="R165" i="9"/>
  <c r="G201" i="9"/>
  <c r="M163" i="9"/>
  <c r="D82" i="8"/>
  <c r="L165" i="9"/>
  <c r="K163" i="9"/>
  <c r="G158" i="9"/>
  <c r="M165"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63" i="8" a="1"/>
  <c r="E79" i="8" a="1"/>
  <c r="E110" i="8" a="1"/>
  <c r="E170" i="8" a="1"/>
  <c r="E15" i="8" a="1"/>
  <c r="E124" i="8" a="1"/>
  <c r="E49" i="8" a="1"/>
  <c r="E192" i="8" a="1"/>
  <c r="E73" i="8" a="1"/>
  <c r="E62" i="8" a="1"/>
  <c r="E36" i="8" a="1"/>
  <c r="E180" i="8" a="1"/>
  <c r="E115" i="8" a="1"/>
  <c r="E198" i="8" a="1"/>
  <c r="E152" i="8" a="1"/>
  <c r="E17" i="8" a="1"/>
  <c r="E131" i="8" a="1"/>
  <c r="E130" i="8" a="1"/>
  <c r="E201" i="8" a="1"/>
  <c r="E97" i="8" a="1"/>
  <c r="E100" i="8" a="1"/>
  <c r="E8" i="8" a="1"/>
  <c r="E176" i="8" a="1"/>
  <c r="E40" i="8" a="1"/>
  <c r="E140" i="8" a="1"/>
  <c r="E186" i="8" a="1"/>
  <c r="E85" i="8" a="1"/>
  <c r="E43" i="8" a="1"/>
  <c r="E195" i="8" a="1"/>
  <c r="E14" i="8" a="1"/>
  <c r="E104" i="8" a="1"/>
  <c r="E161" i="8" a="1"/>
  <c r="E118" i="8" a="1"/>
  <c r="E197" i="8" a="1"/>
  <c r="E127" i="8" a="1"/>
  <c r="E194" i="8" a="1"/>
  <c r="E141" i="8" a="1"/>
  <c r="E203" i="8" a="1"/>
  <c r="E70" i="8" a="1"/>
  <c r="E24" i="8" a="1"/>
  <c r="E76" i="8" a="1"/>
  <c r="E64" i="8" a="1"/>
  <c r="E111" i="8" a="1"/>
  <c r="E148" i="8" a="1"/>
  <c r="E142" i="8" a="1"/>
  <c r="E33" i="8" a="1"/>
  <c r="E129" i="8" a="1"/>
  <c r="E191" i="8" a="1"/>
  <c r="E89" i="8" a="1"/>
  <c r="E25" i="8" a="1"/>
  <c r="E106" i="8" a="1"/>
  <c r="E187" i="8" a="1"/>
  <c r="E158" i="8" a="1"/>
  <c r="E16" i="8" a="1"/>
  <c r="E183" i="8" a="1"/>
  <c r="E46" i="8" a="1"/>
  <c r="E20" i="8" a="1"/>
  <c r="E102" i="8" a="1"/>
  <c r="E11" i="8" a="1"/>
  <c r="E78" i="8" a="1"/>
  <c r="E51" i="8" a="1"/>
  <c r="E60" i="8" a="1"/>
  <c r="E153" i="8" a="1"/>
  <c r="E109" i="8" a="1"/>
  <c r="E47" i="8" a="1"/>
  <c r="E105" i="8" a="1"/>
  <c r="E37" i="8" a="1"/>
  <c r="E57" i="8" a="1"/>
  <c r="E185" i="8" a="1"/>
  <c r="E128" i="8" a="1"/>
  <c r="E120" i="8" a="1"/>
  <c r="E80" i="8" a="1"/>
  <c r="E96" i="8" a="1"/>
  <c r="E121" i="8" a="1"/>
  <c r="E122" i="8" a="1"/>
  <c r="E10" i="8" a="1"/>
  <c r="E144" i="8" a="1"/>
  <c r="E202" i="8" a="1"/>
  <c r="E38" i="8" a="1"/>
  <c r="E39" i="8" a="1"/>
  <c r="E67" i="8" a="1"/>
  <c r="E136" i="8" a="1"/>
  <c r="E69" i="8" a="1"/>
  <c r="E188" i="8" a="1"/>
  <c r="E42" i="8" a="1"/>
  <c r="E139" i="8" a="1"/>
  <c r="E50" i="8" a="1"/>
  <c r="E90" i="8" a="1"/>
  <c r="E28" i="8" a="1"/>
  <c r="E32" i="8" a="1"/>
  <c r="E182" i="8" a="1"/>
  <c r="E55" i="8" a="1"/>
  <c r="E83" i="8" a="1"/>
  <c r="E41" i="8" a="1"/>
  <c r="E196" i="8" a="1"/>
  <c r="E13" i="8" a="1"/>
  <c r="E52" i="8" a="1"/>
  <c r="E173" i="8" a="1"/>
  <c r="E166"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<sst xmlns="http://schemas.openxmlformats.org/spreadsheetml/2006/main" count="44807" uniqueCount="15688">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</sst>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RLY</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abSelecte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0" t="s">
        <v>0</v>
      </c>
      <c r="E2" s="90"/>
      <c r="F2" s="90"/>
      <c r="G2" s="90"/>
      <c r="H2" s="90"/>
      <c r="X2" t="str">
        <f ca="1">IF($D$12="Please enable macros when using this template","Please enable macros when using this template","")</f>
        <v/>
      </c>
    </row>
    <row r="3" spans="1:24" ht="15" customHeight="1" x14ac:dyDescent="0.2">
      <c r="D3" s="90"/>
      <c r="E3" s="90"/>
      <c r="F3" s="90"/>
      <c r="G3" s="90"/>
      <c r="H3" s="90"/>
    </row>
    <row r="4" spans="1:24" ht="57.75" customHeight="1" x14ac:dyDescent="0.2">
      <c r="D4" s="91" t="s">
        <v>41</v>
      </c>
      <c r="E4" s="91"/>
      <c r="F4" s="91"/>
      <c r="G4" s="91"/>
      <c r="H4" s="91"/>
      <c r="I4" s="22"/>
      <c r="J4" s="22"/>
    </row>
    <row r="6" spans="1:24" ht="15.75" x14ac:dyDescent="0.2">
      <c r="E6" s="9" t="s">
        <v>151</v>
      </c>
      <c r="F6" s="88" t="str">
        <f>VLOOKUP(OrgCodeSelection,Orgs,2,FALSE)</f>
        <v>NORTH STAFFORDSHIRE COMBINED HEALTHCARE NHS TRUST</v>
      </c>
      <c r="G6" s="89"/>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2" t="s">
        <v>15418</v>
      </c>
      <c r="E15" s="92"/>
      <c r="F15" s="92"/>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p45yAOc5VUX9gS9c7hLZkKNZN8s7x17PqAdffee/iSGGvQ5vRY5nHcU59Tg/KKmuHwBdGozxFq90tGRLWMbYJQ==" saltValue="Xl3t9Y4tJAK8Njrs4vpLP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election activeCell="T17" sqref="T17"/>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opLeftCell="B12" zoomScale="80" zoomScaleNormal="8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2">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RLY</v>
      </c>
      <c r="F5" s="111" t="str">
        <f>IF(ISBLANK(OrgNameSelection),"",OrgNameSelection)</f>
        <v>NORTH STAFFORDSHIRE COMBINED HEALTHCARE NHS TRUST</v>
      </c>
      <c r="G5" s="111"/>
      <c r="H5" s="111"/>
      <c r="I5" s="111"/>
      <c r="J5" s="111"/>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2" t="s">
        <v>2</v>
      </c>
      <c r="G7" s="112"/>
      <c r="H7" s="112"/>
      <c r="I7" s="112"/>
      <c r="J7" s="112"/>
      <c r="K7" s="112"/>
      <c r="L7" s="112"/>
      <c r="M7" s="112"/>
      <c r="N7" s="112"/>
      <c r="O7" s="112"/>
      <c r="P7" s="112"/>
      <c r="Q7" s="112"/>
      <c r="R7" s="11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3" t="s">
        <v>3</v>
      </c>
      <c r="G8" s="113"/>
      <c r="H8" s="113"/>
      <c r="I8" s="113"/>
      <c r="J8" s="113"/>
      <c r="K8" s="113"/>
      <c r="L8" s="113"/>
      <c r="M8" s="113"/>
      <c r="N8" s="113"/>
      <c r="O8" s="113"/>
      <c r="P8" s="113"/>
      <c r="Q8" s="113"/>
      <c r="R8" s="11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4" t="s">
        <v>15687</v>
      </c>
      <c r="G9" s="115"/>
      <c r="H9" s="115"/>
      <c r="I9" s="115"/>
      <c r="J9" s="115"/>
      <c r="K9" s="115"/>
      <c r="L9" s="115"/>
      <c r="M9" s="115"/>
      <c r="N9" s="115"/>
      <c r="O9" s="115"/>
      <c r="P9" s="115"/>
      <c r="Q9" s="115"/>
      <c r="R9" s="11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7"/>
      <c r="E10" s="107"/>
      <c r="F10" s="10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8"/>
      <c r="H10" s="108"/>
      <c r="I10" s="108"/>
      <c r="J10" s="108"/>
      <c r="K10" s="108"/>
      <c r="L10" s="108"/>
      <c r="M10" s="108"/>
      <c r="N10" s="108"/>
      <c r="O10" s="108"/>
      <c r="P10" s="108"/>
      <c r="Q10" s="108"/>
      <c r="R10" s="108"/>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4"/>
      <c r="E11" s="104"/>
      <c r="F11" s="47" t="s">
        <v>4</v>
      </c>
      <c r="G11" s="35"/>
      <c r="H11" s="35"/>
      <c r="I11" s="98" t="s">
        <v>5</v>
      </c>
      <c r="J11" s="105"/>
      <c r="K11" s="105"/>
      <c r="L11" s="105"/>
      <c r="M11" s="105"/>
      <c r="N11" s="105"/>
      <c r="O11" s="105"/>
      <c r="P11" s="106"/>
      <c r="Q11" s="98" t="s">
        <v>6</v>
      </c>
      <c r="R11" s="105"/>
      <c r="S11" s="105"/>
      <c r="T11" s="105"/>
      <c r="U11" s="105"/>
      <c r="V11" s="105"/>
      <c r="W11" s="105"/>
      <c r="X11" s="106"/>
      <c r="Y11" s="98" t="s">
        <v>7</v>
      </c>
      <c r="Z11" s="99"/>
      <c r="AA11" s="99"/>
      <c r="AB11" s="100"/>
      <c r="AC11" s="94" t="s">
        <v>17</v>
      </c>
      <c r="AD11" s="98" t="s">
        <v>8</v>
      </c>
      <c r="AE11" s="105"/>
      <c r="AF11" s="105"/>
      <c r="AG11" s="105"/>
      <c r="AH11" s="105"/>
      <c r="AI11" s="105"/>
      <c r="AJ11" s="106"/>
      <c r="AK11" s="101" t="s">
        <v>5</v>
      </c>
      <c r="AL11" s="102"/>
      <c r="AM11" s="102"/>
      <c r="AN11" s="103"/>
      <c r="AO11" s="101" t="s">
        <v>6</v>
      </c>
      <c r="AP11" s="102"/>
      <c r="AQ11" s="102"/>
      <c r="AR11" s="103"/>
      <c r="AS11" s="117" t="s">
        <v>7</v>
      </c>
      <c r="AT11" s="118"/>
      <c r="AU11" s="48"/>
    </row>
    <row r="12" spans="1:47" ht="46.5" customHeight="1" x14ac:dyDescent="0.2">
      <c r="D12" s="101" t="s">
        <v>9</v>
      </c>
      <c r="E12" s="103"/>
      <c r="F12" s="119" t="s">
        <v>10</v>
      </c>
      <c r="G12" s="121" t="s">
        <v>15365</v>
      </c>
      <c r="H12" s="122"/>
      <c r="I12" s="93" t="s">
        <v>11</v>
      </c>
      <c r="J12" s="93"/>
      <c r="K12" s="93" t="s">
        <v>12</v>
      </c>
      <c r="L12" s="93"/>
      <c r="M12" s="101" t="s">
        <v>13</v>
      </c>
      <c r="N12" s="103"/>
      <c r="O12" s="101" t="s">
        <v>14</v>
      </c>
      <c r="P12" s="103"/>
      <c r="Q12" s="93" t="s">
        <v>11</v>
      </c>
      <c r="R12" s="93"/>
      <c r="S12" s="93" t="s">
        <v>12</v>
      </c>
      <c r="T12" s="93"/>
      <c r="U12" s="101" t="s">
        <v>13</v>
      </c>
      <c r="V12" s="103"/>
      <c r="W12" s="101" t="s">
        <v>14</v>
      </c>
      <c r="X12" s="103"/>
      <c r="Y12" s="101" t="s">
        <v>15</v>
      </c>
      <c r="Z12" s="100"/>
      <c r="AA12" s="101" t="s">
        <v>16</v>
      </c>
      <c r="AB12" s="100"/>
      <c r="AC12" s="109"/>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2">
      <c r="A13" s="31" t="s">
        <v>38</v>
      </c>
      <c r="D13" s="49" t="s">
        <v>26</v>
      </c>
      <c r="E13" s="50" t="s">
        <v>27</v>
      </c>
      <c r="F13" s="120"/>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5"/>
      <c r="AD13" s="95"/>
      <c r="AE13" s="95"/>
      <c r="AF13" s="95"/>
      <c r="AG13" s="95"/>
      <c r="AH13" s="97"/>
      <c r="AI13" s="95"/>
      <c r="AJ13" s="95"/>
      <c r="AK13" s="93"/>
      <c r="AL13" s="93"/>
      <c r="AM13" s="95"/>
      <c r="AN13" s="95"/>
      <c r="AO13" s="93"/>
      <c r="AP13" s="93"/>
      <c r="AQ13" s="95"/>
      <c r="AR13" s="95"/>
      <c r="AS13" s="96"/>
      <c r="AT13" s="96"/>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14452.5</v>
      </c>
      <c r="J15" s="55">
        <f ca="1">SUM(INDIRECT("J16:J215"))</f>
        <v>11118.5</v>
      </c>
      <c r="K15" s="55">
        <f ca="1">SUM(INDIRECT("K16:K215"))</f>
        <v>19057.5</v>
      </c>
      <c r="L15" s="55">
        <f ca="1">SUM(INDIRECT("L16:L215"))</f>
        <v>18774.93</v>
      </c>
      <c r="M15" s="55">
        <f ca="1">SUM(INDIRECT("M16:M215"))</f>
        <v>148.5</v>
      </c>
      <c r="N15" s="55">
        <f ca="1">SUM(INDIRECT("N16:N215"))</f>
        <v>148.5</v>
      </c>
      <c r="O15" s="55">
        <f ca="1">SUM(INDIRECT("O16:O215"))</f>
        <v>0</v>
      </c>
      <c r="P15" s="55">
        <f ca="1">SUM(INDIRECT("P16:P215"))</f>
        <v>0</v>
      </c>
      <c r="Q15" s="55">
        <f ca="1">SUM(INDIRECT("Q16:Q215"))</f>
        <v>6526.12</v>
      </c>
      <c r="R15" s="55">
        <f ca="1">SUM(INDIRECT("R16:R215"))</f>
        <v>4902.13</v>
      </c>
      <c r="S15" s="55">
        <f ca="1">SUM(INDIRECT("S16:S215"))</f>
        <v>14062.34</v>
      </c>
      <c r="T15" s="55">
        <f ca="1">SUM(INDIRECT("T16:T215"))</f>
        <v>14377.37</v>
      </c>
      <c r="U15" s="55">
        <f ca="1">SUM(INDIRECT("U16:U215"))</f>
        <v>0</v>
      </c>
      <c r="V15" s="55">
        <f ca="1">SUM(INDIRECT("V16:V215"))</f>
        <v>0</v>
      </c>
      <c r="W15" s="55">
        <f ca="1">SUM(INDIRECT("W16:W215"))</f>
        <v>0</v>
      </c>
      <c r="X15" s="55">
        <f ca="1">SUM(INDIRECT("X16:X215"))</f>
        <v>0</v>
      </c>
      <c r="Y15" s="55">
        <f ca="1">SUM(INDIRECT("Y16:Y215"))</f>
        <v>2534.98</v>
      </c>
      <c r="Z15" s="55">
        <f ca="1">SUM(INDIRECT("Z16:Z215"))</f>
        <v>2765.58</v>
      </c>
      <c r="AA15" s="55">
        <f ca="1">SUM(INDIRECT("AA16:AA215"))</f>
        <v>3547.5</v>
      </c>
      <c r="AB15" s="55">
        <f ca="1">SUM(INDIRECT("AB16:AB215"))</f>
        <v>2285.33</v>
      </c>
      <c r="AC15" s="55">
        <f ca="1">SUM(INDIRECT("AC16:AC215"))</f>
        <v>3984</v>
      </c>
      <c r="AD15" s="27">
        <f t="shared" ref="AD15" ca="1" si="0">IFERROR(IF(INDIRECT("$AC" &amp;ROW()) ="","",SUM(INDIRECT("J" &amp;ROW()),INDIRECT("R" &amp; ROW()))/INDIRECT("$AC" &amp;ROW())),"-")</f>
        <v>4.0212424698795184</v>
      </c>
      <c r="AE15" s="27">
        <f t="shared" ref="AE15" ca="1" si="1">IFERROR(IF(INDIRECT("$AC"&amp;ROW())="","",SUM(INDIRECT("L"&amp;ROW()),INDIRECT("T"&amp;ROW()))/INDIRECT("$AC"&amp;ROW())),"-")</f>
        <v>8.3213604417670695</v>
      </c>
      <c r="AF15" s="27">
        <f t="shared" ref="AF15" ca="1" si="2">IFERROR(IF(INDIRECT("$AC" &amp;ROW())="","",SUM(INDIRECT("N" &amp;ROW()),INDIRECT("V" &amp;ROW()))/INDIRECT("$AC" &amp;ROW())),"-")</f>
        <v>3.7274096385542167E-2</v>
      </c>
      <c r="AG15" s="27">
        <f t="shared" ref="AG15" ca="1" si="3">IFERROR(IF(INDIRECT("$AC" &amp;ROW())="","",SUM(INDIRECT("P" &amp;ROW()),INDIRECT("X" &amp;ROW()))/INDIRECT("$AC" &amp;ROW())),"-")</f>
        <v>0</v>
      </c>
      <c r="AH15" s="27">
        <f ca="1">IFERROR(IF(INDIRECT("$AC" &amp;ROW())="","",INDIRECT("Z" &amp;ROW())/INDIRECT("$AC" &amp;ROW())),"-")</f>
        <v>0.69417168674698793</v>
      </c>
      <c r="AI15" s="27">
        <f ca="1">IFERROR(IF(INDIRECT("$AC" &amp;ROW())="","",INDIRECT("AB" &amp;ROW())/INDIRECT("$AC" &amp;ROW())),"-")</f>
        <v>0.57362700803212852</v>
      </c>
      <c r="AJ15" s="27">
        <f ca="1">IFERROR(IF(AC15="","",SUM(J15,L15,N15,P15,R15,T15,V15,X15,Z15,AB15)/AC15),"-")</f>
        <v>13.647675702811245</v>
      </c>
      <c r="AK15" s="29">
        <f ca="1">IFERROR(IF(INDIRECT("I" &amp;ROW())="","",INDIRECT("J" &amp;ROW())/INDIRECT("I" &amp;ROW())),"-")</f>
        <v>0.76931326760076113</v>
      </c>
      <c r="AL15" s="29">
        <f ca="1">IFERROR(IF(INDIRECT("K" &amp;ROW())="","",INDIRECT("L" &amp;ROW())/INDIRECT("K" &amp;ROW())),"-")</f>
        <v>0.98517276662731212</v>
      </c>
      <c r="AM15" s="30">
        <f t="shared" ref="AM15" ca="1" si="4">IFERROR(IF(INDIRECT("M" &amp;ROW())="","",INDIRECT("N" &amp;ROW())/INDIRECT("M" &amp;ROW())),"-")</f>
        <v>1</v>
      </c>
      <c r="AN15" s="30" t="str">
        <f t="shared" ref="AN15" ca="1" si="5">IFERROR(IF(INDIRECT("O" &amp;ROW())="","",INDIRECT("P" &amp;ROW())/INDIRECT("O" &amp;ROW())),"-")</f>
        <v>-</v>
      </c>
      <c r="AO15" s="30">
        <f t="shared" ref="AO15" ca="1" si="6">IFERROR(IF(INDIRECT("Q" &amp;ROW())="","",INDIRECT("R" &amp;ROW())/INDIRECT("Q" &amp;ROW())),"-")</f>
        <v>0.7511553572413624</v>
      </c>
      <c r="AP15" s="30">
        <f t="shared" ref="AP15" ca="1" si="7">IFERROR(IF(INDIRECT("S" &amp;ROW())="","",INDIRECT("T" &amp;ROW())/INDIRECT("S" &amp;ROW())),"-")</f>
        <v>1.0224023882227282</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1.090967187117847</v>
      </c>
      <c r="AT15" s="30">
        <f t="shared" ref="AT15" ca="1" si="11">IFERROR(IF(INDIRECT("AA" &amp;ROW())="","",INDIRECT("AB" &amp;ROW())/INDIRECT("AA" &amp;ROW())),"-")</f>
        <v>0.64420859760394644</v>
      </c>
    </row>
    <row r="16" spans="1:47" ht="30" x14ac:dyDescent="0.25">
      <c r="A16" s="31" t="str" cm="1">
        <f t="array" aca="1" ref="A16" ca="1">INDIRECT("D" &amp; ROW())&amp;INDIRECT("F" &amp; ROW())</f>
        <v>RLY88Ward 1</v>
      </c>
      <c r="D16" s="57" t="str">
        <f t="shared" ref="D16:D47" si="12">IFERROR(VLOOKUP($E$5&amp;E16,Sites,4,FALSE),"")</f>
        <v>RLY88</v>
      </c>
      <c r="E16" s="87" t="s">
        <v>2489</v>
      </c>
      <c r="F16" s="26" t="s">
        <v>9646</v>
      </c>
      <c r="G16" s="2" t="s">
        <v>15296</v>
      </c>
      <c r="H16" s="58"/>
      <c r="I16" s="3">
        <v>1327.5</v>
      </c>
      <c r="J16" s="3">
        <v>928.25</v>
      </c>
      <c r="K16" s="3">
        <v>1402.5</v>
      </c>
      <c r="L16" s="3">
        <v>1188.8699999999999</v>
      </c>
      <c r="M16" s="3">
        <v>0</v>
      </c>
      <c r="N16" s="3">
        <v>0</v>
      </c>
      <c r="O16" s="3">
        <v>0</v>
      </c>
      <c r="P16" s="3">
        <v>0</v>
      </c>
      <c r="Q16" s="3">
        <v>344.1</v>
      </c>
      <c r="R16" s="3">
        <v>355.2</v>
      </c>
      <c r="S16" s="3">
        <v>1154.4000000000001</v>
      </c>
      <c r="T16" s="3">
        <v>1083.8</v>
      </c>
      <c r="U16" s="3">
        <v>0</v>
      </c>
      <c r="V16" s="3">
        <v>0</v>
      </c>
      <c r="W16" s="3">
        <v>0</v>
      </c>
      <c r="X16" s="3">
        <v>0</v>
      </c>
      <c r="Y16" s="3">
        <v>165</v>
      </c>
      <c r="Z16" s="3">
        <v>239</v>
      </c>
      <c r="AA16" s="3">
        <v>330</v>
      </c>
      <c r="AB16" s="3">
        <v>275.5</v>
      </c>
      <c r="AC16" s="3">
        <v>325</v>
      </c>
      <c r="AD16" s="4">
        <f ca="1">IF(A16="","",IFERROR((VLOOKUP(A16,A16:AC216,10,0)+VLOOKUP(A16,A16:AC216,18,0))/VLOOKUP(A16,A16:AC216,29,0),"-"))</f>
        <v>3.9490769230769232</v>
      </c>
      <c r="AE16" s="4">
        <f ca="1">IF(A16="","",IFERROR((VLOOKUP(A16,A16:AC216,12,0)+VLOOKUP(A16,A16:AC216,20,0))/VLOOKUP(A16,A16:AC216,29,0),"-"))</f>
        <v>6.9928307692307694</v>
      </c>
      <c r="AF16" s="4">
        <f ca="1">IF(A16="","",IFERROR((VLOOKUP(A16,A16:AC216,14,0)+VLOOKUP(A16,A16:AC216,22,0))/VLOOKUP(A16,A16:AC216,29,0),"-"))</f>
        <v>0</v>
      </c>
      <c r="AG16" s="4">
        <f ca="1">IF(A16="","",IFERROR((VLOOKUP(A16,A16:AC216,16,0)+VLOOKUP(A16,A16:AC216,24,0))/VLOOKUP(A16,A16:AC216,29,0),"-"))</f>
        <v>0</v>
      </c>
      <c r="AH16" s="4">
        <f ca="1">IF(A16="","",IFERROR(VLOOKUP(A16,A16:AC216,26,0)/VLOOKUP(A16,A16:AC216,29,0),"-"))</f>
        <v>0.73538461538461541</v>
      </c>
      <c r="AI16" s="4">
        <f ca="1">IF(A16="","",IFERROR(VLOOKUP(A16,A16:AC216,28,0)/VLOOKUP(A16,A16:AC216,29,0),"-"))</f>
        <v>0.84769230769230774</v>
      </c>
      <c r="AJ16" s="4">
        <f ca="1">IF(A16="","",IFERROR((VLOOKUP(A16,A16:AC216,10,0)+VLOOKUP(A16,A16:AC216,12,0)+VLOOKUP(A16,A16:AC216,14,0)+VLOOKUP(A16,A16:AC216,16,0)+VLOOKUP(A16,A16:AC216,18,0)+VLOOKUP(A16,A16:AC216,20,0)+VLOOKUP(A16,A16:AC216,22,0)+VLOOKUP(A16,A16:AC216,24,0)+VLOOKUP(A16,A16:AC216,26,0)+VLOOKUP(A16,A16:AC216,28,0))/VLOOKUP(A16,A16:AC216,29,0),"-"))</f>
        <v>12.524984615384614</v>
      </c>
      <c r="AK16" s="28">
        <f ca="1">IF(A16="","",IFERROR(VLOOKUP(A16,A16:AC216,10,0)/VLOOKUP(A16,A16:AC216,9,0),"-"))</f>
        <v>0.69924670433145009</v>
      </c>
      <c r="AL16" s="28">
        <f ca="1">IF(A16="","",IFERROR(VLOOKUP(A16,A16:AC216,12,0)/VLOOKUP(A16,A16:AC216,11,0),"-"))</f>
        <v>0.84767914438502667</v>
      </c>
      <c r="AM16" s="28" t="str">
        <f ca="1">IF(A16="","",IFERROR(VLOOKUP(A16,A16:AC216,14,0)/VLOOKUP(A16,A16:AC216,13,0),"-"))</f>
        <v>-</v>
      </c>
      <c r="AN16" s="28" t="str">
        <f ca="1">IF(A16="","",IFERROR(VLOOKUP(A16,A16:AC216,16,0)/VLOOKUP(A16,A16:AC216,15,0),"-"))</f>
        <v>-</v>
      </c>
      <c r="AO16" s="28">
        <f ca="1">IF(A16="","",IFERROR(VLOOKUP(A16,A16:AC216,18,0)/VLOOKUP(A16,A16:AC216,17,0),"-"))</f>
        <v>1.032258064516129</v>
      </c>
      <c r="AP16" s="28">
        <f ca="1">IF(A16="","",IFERROR(VLOOKUP(A16,A16:AC216,20,0)/VLOOKUP(A16,A16:AC216,19,0),"-"))</f>
        <v>0.93884268884268873</v>
      </c>
      <c r="AQ16" s="28" t="str">
        <f ca="1">IF(A16="","",IFERROR(VLOOKUP(A16,A16:AC216,22,0)/VLOOKUP(A16,A16:AC216,21,0),"-"))</f>
        <v>-</v>
      </c>
      <c r="AR16" s="28" t="str">
        <f ca="1">IF(A16="","",IFERROR(VLOOKUP(A16,A16:AC216,24,0)/VLOOKUP(A16,A16:AC216,23,0),"-"))</f>
        <v>-</v>
      </c>
      <c r="AS16" s="28">
        <f ca="1">IF(A16="","",IFERROR(VLOOKUP(A16,A16:AC216,26,0)/VLOOKUP(A16,A16:AC216,25,0),"-"))</f>
        <v>1.4484848484848485</v>
      </c>
      <c r="AT16" s="28">
        <f ca="1">IF(A16="","",IFERROR(VLOOKUP(A16,A16:AC216,28,0)/VLOOKUP(A16,A16:AC216,27,0),"-"))</f>
        <v>0.83484848484848484</v>
      </c>
    </row>
    <row r="17" spans="1:46" ht="30" x14ac:dyDescent="0.25">
      <c r="A17" s="31" t="str" cm="1">
        <f t="array" aca="1" ref="A17" ca="1">INDIRECT("D" &amp; ROW())&amp;INDIRECT("F" &amp; ROW())</f>
        <v>RLY88Ward 2</v>
      </c>
      <c r="D17" s="57" t="str">
        <f t="shared" si="12"/>
        <v>RLY88</v>
      </c>
      <c r="E17" s="87" t="s">
        <v>2489</v>
      </c>
      <c r="F17" s="26" t="s">
        <v>9649</v>
      </c>
      <c r="G17" s="2" t="s">
        <v>15296</v>
      </c>
      <c r="H17" s="59"/>
      <c r="I17" s="1">
        <v>1327.5</v>
      </c>
      <c r="J17" s="1">
        <v>884.25</v>
      </c>
      <c r="K17" s="1">
        <v>1162.5</v>
      </c>
      <c r="L17" s="1">
        <v>1469.38</v>
      </c>
      <c r="M17" s="1">
        <v>0</v>
      </c>
      <c r="N17" s="1">
        <v>0</v>
      </c>
      <c r="O17" s="1">
        <v>0</v>
      </c>
      <c r="P17" s="1">
        <v>0</v>
      </c>
      <c r="Q17" s="5">
        <v>688.2</v>
      </c>
      <c r="R17" s="5">
        <v>530.95000000000005</v>
      </c>
      <c r="S17" s="6">
        <v>732.6</v>
      </c>
      <c r="T17" s="5">
        <v>854.4</v>
      </c>
      <c r="U17" s="5">
        <v>0</v>
      </c>
      <c r="V17" s="6">
        <v>0</v>
      </c>
      <c r="W17" s="6">
        <v>0</v>
      </c>
      <c r="X17" s="6">
        <v>0</v>
      </c>
      <c r="Y17" s="6">
        <v>165</v>
      </c>
      <c r="Z17" s="6">
        <v>279</v>
      </c>
      <c r="AA17" s="6">
        <v>330</v>
      </c>
      <c r="AB17" s="6">
        <v>272</v>
      </c>
      <c r="AC17" s="6">
        <v>509</v>
      </c>
      <c r="AD17" s="4">
        <f t="shared" ref="AD17:AD80" ca="1" si="13">IF(A17="","",IFERROR((VLOOKUP(A17,A17:AC217,10,0)+VLOOKUP(A17,A17:AC217,18,0))/VLOOKUP(A17,A17:AC217,29,0),"-"))</f>
        <v>2.7803536345776032</v>
      </c>
      <c r="AE17" s="4">
        <f t="shared" ref="AE17:AE80" ca="1" si="14">IF(A17="","",IFERROR((VLOOKUP(A17,A17:AC217,12,0)+VLOOKUP(A17,A17:AC217,20,0))/VLOOKUP(A17,A17:AC217,29,0),"-"))</f>
        <v>4.5653831041257371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0.54813359528487227</v>
      </c>
      <c r="AI17" s="4">
        <f t="shared" ref="AI17:AI80" ca="1" si="18">IF(A17="","",IFERROR(VLOOKUP(A17,A17:AC217,28,0)/VLOOKUP(A17,A17:AC217,29,0),"-"))</f>
        <v>0.53438113948919452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8.4282514734774061</v>
      </c>
      <c r="AK17" s="28">
        <f t="shared" ref="AK17:AK80" ca="1" si="20">IF(A17="","",IFERROR(VLOOKUP(A17,A17:AC217,10,0)/VLOOKUP(A17,A17:AC217,9,0),"-"))</f>
        <v>0.66610169491525428</v>
      </c>
      <c r="AL17" s="28">
        <f t="shared" ref="AL17:AL80" ca="1" si="21">IF(A17="","",IFERROR(VLOOKUP(A17,A17:AC217,12,0)/VLOOKUP(A17,A17:AC217,11,0),"-"))</f>
        <v>1.2639827956989249</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0.771505376344086</v>
      </c>
      <c r="AP17" s="28">
        <f t="shared" ref="AP17:AP80" ca="1" si="25">IF(A17="","",IFERROR(VLOOKUP(A17,A17:AC217,20,0)/VLOOKUP(A17,A17:AC217,19,0),"-"))</f>
        <v>1.1662571662571661</v>
      </c>
      <c r="AQ17" s="28" t="str">
        <f t="shared" ref="AQ17:AQ80" ca="1" si="26">IF(A17="","",IFERROR(VLOOKUP(A17,A17:AC217,22,0)/VLOOKUP(A17,A17:AC217,21,0),"-"))</f>
        <v>-</v>
      </c>
      <c r="AR17" s="28" t="str">
        <f t="shared" ref="AR17:AR80" ca="1" si="27">IF(A17="","",IFERROR(VLOOKUP(A17,A17:AC217,24,0)/VLOOKUP(A17,A17:AC217,23,0),"-"))</f>
        <v>-</v>
      </c>
      <c r="AS17" s="28">
        <f t="shared" ref="AS17:AS80" ca="1" si="28">IF(A17="","",IFERROR(VLOOKUP(A17,A17:AC217,26,0)/VLOOKUP(A17,A17:AC217,25,0),"-"))</f>
        <v>1.6909090909090909</v>
      </c>
      <c r="AT17" s="28">
        <f t="shared" ref="AT17:AT80" ca="1" si="29">IF(A17="","",IFERROR(VLOOKUP(A17,A17:AC217,28,0)/VLOOKUP(A17,A17:AC217,27,0),"-"))</f>
        <v>0.82424242424242422</v>
      </c>
    </row>
    <row r="18" spans="1:46" ht="30" x14ac:dyDescent="0.25">
      <c r="A18" s="31" t="str" cm="1">
        <f t="array" aca="1" ref="A18" ca="1">INDIRECT("D" &amp; ROW())&amp;INDIRECT("F" &amp; ROW())</f>
        <v>RLY88Ward 3</v>
      </c>
      <c r="D18" s="57" t="str">
        <f t="shared" si="12"/>
        <v>RLY88</v>
      </c>
      <c r="E18" s="87" t="s">
        <v>2489</v>
      </c>
      <c r="F18" s="26" t="s">
        <v>9656</v>
      </c>
      <c r="G18" s="2" t="s">
        <v>15296</v>
      </c>
      <c r="H18" s="59"/>
      <c r="I18" s="3">
        <v>1327.5</v>
      </c>
      <c r="J18" s="5">
        <v>1010.42</v>
      </c>
      <c r="K18" s="5">
        <v>1297.5</v>
      </c>
      <c r="L18" s="5">
        <v>1475.85</v>
      </c>
      <c r="M18" s="5">
        <v>0</v>
      </c>
      <c r="N18" s="5">
        <v>0</v>
      </c>
      <c r="O18" s="5">
        <v>0</v>
      </c>
      <c r="P18" s="5">
        <v>0</v>
      </c>
      <c r="Q18" s="5">
        <v>688.2</v>
      </c>
      <c r="R18" s="5">
        <v>379.95</v>
      </c>
      <c r="S18" s="6">
        <v>821.4</v>
      </c>
      <c r="T18" s="5">
        <v>1060.3</v>
      </c>
      <c r="U18" s="5">
        <v>0</v>
      </c>
      <c r="V18" s="6">
        <v>0</v>
      </c>
      <c r="W18" s="6">
        <v>0</v>
      </c>
      <c r="X18" s="6">
        <v>0</v>
      </c>
      <c r="Y18" s="6">
        <v>165</v>
      </c>
      <c r="Z18" s="6">
        <v>243.5</v>
      </c>
      <c r="AA18" s="6">
        <v>330</v>
      </c>
      <c r="AB18" s="6">
        <v>335</v>
      </c>
      <c r="AC18" s="6">
        <v>441</v>
      </c>
      <c r="AD18" s="4">
        <f t="shared" ca="1" si="13"/>
        <v>3.1527664399092967</v>
      </c>
      <c r="AE18" s="4">
        <f t="shared" ca="1" si="14"/>
        <v>5.7509070294784577</v>
      </c>
      <c r="AF18" s="4">
        <f t="shared" ca="1" si="15"/>
        <v>0</v>
      </c>
      <c r="AG18" s="4">
        <f t="shared" ca="1" si="16"/>
        <v>0</v>
      </c>
      <c r="AH18" s="4">
        <f t="shared" ca="1" si="17"/>
        <v>0.55215419501133789</v>
      </c>
      <c r="AI18" s="4">
        <f t="shared" ca="1" si="18"/>
        <v>0.75963718820861681</v>
      </c>
      <c r="AJ18" s="4">
        <f t="shared" ca="1" si="19"/>
        <v>10.215464852607708</v>
      </c>
      <c r="AK18" s="28">
        <f t="shared" ca="1" si="20"/>
        <v>0.76114500941619578</v>
      </c>
      <c r="AL18" s="28">
        <f t="shared" ca="1" si="21"/>
        <v>1.1374566473988439</v>
      </c>
      <c r="AM18" s="28" t="str">
        <f t="shared" ca="1" si="22"/>
        <v>-</v>
      </c>
      <c r="AN18" s="28" t="str">
        <f t="shared" ca="1" si="23"/>
        <v>-</v>
      </c>
      <c r="AO18" s="28">
        <f t="shared" ca="1" si="24"/>
        <v>0.55209241499564077</v>
      </c>
      <c r="AP18" s="28">
        <f t="shared" ca="1" si="25"/>
        <v>1.290844898953007</v>
      </c>
      <c r="AQ18" s="28" t="str">
        <f t="shared" ca="1" si="26"/>
        <v>-</v>
      </c>
      <c r="AR18" s="28" t="str">
        <f t="shared" ca="1" si="27"/>
        <v>-</v>
      </c>
      <c r="AS18" s="28">
        <f t="shared" ca="1" si="28"/>
        <v>1.4757575757575758</v>
      </c>
      <c r="AT18" s="28">
        <f t="shared" ca="1" si="29"/>
        <v>1.0151515151515151</v>
      </c>
    </row>
    <row r="19" spans="1:46" ht="30" x14ac:dyDescent="0.2">
      <c r="A19" s="31" t="str" cm="1">
        <f t="array" aca="1" ref="A19" ca="1">INDIRECT("D" &amp; ROW())&amp;INDIRECT("F" &amp; ROW())</f>
        <v>RLY88Ward 4</v>
      </c>
      <c r="D19" s="57" t="str">
        <f t="shared" si="12"/>
        <v>RLY88</v>
      </c>
      <c r="E19" s="74" t="s">
        <v>2489</v>
      </c>
      <c r="F19" s="26" t="s">
        <v>9657</v>
      </c>
      <c r="G19" s="2" t="s">
        <v>15308</v>
      </c>
      <c r="H19" s="59"/>
      <c r="I19" s="3">
        <v>1492.5</v>
      </c>
      <c r="J19" s="5">
        <v>909.6</v>
      </c>
      <c r="K19" s="5">
        <v>1627.5</v>
      </c>
      <c r="L19" s="5">
        <v>2091.88</v>
      </c>
      <c r="M19" s="5">
        <v>0</v>
      </c>
      <c r="N19" s="5">
        <v>0</v>
      </c>
      <c r="O19" s="5">
        <v>0</v>
      </c>
      <c r="P19" s="5">
        <v>0</v>
      </c>
      <c r="Q19" s="5">
        <v>344.1</v>
      </c>
      <c r="R19" s="5">
        <v>344.7</v>
      </c>
      <c r="S19" s="6">
        <v>1376.4</v>
      </c>
      <c r="T19" s="5">
        <v>1186.97</v>
      </c>
      <c r="U19" s="5">
        <v>0</v>
      </c>
      <c r="V19" s="6">
        <v>0</v>
      </c>
      <c r="W19" s="6">
        <v>0</v>
      </c>
      <c r="X19" s="6">
        <v>0</v>
      </c>
      <c r="Y19" s="6">
        <v>195</v>
      </c>
      <c r="Z19" s="6">
        <v>444.75</v>
      </c>
      <c r="AA19" s="6">
        <v>510</v>
      </c>
      <c r="AB19" s="6">
        <v>271.5</v>
      </c>
      <c r="AC19" s="6">
        <v>438</v>
      </c>
      <c r="AD19" s="4">
        <f t="shared" ca="1" si="13"/>
        <v>2.863698630136986</v>
      </c>
      <c r="AE19" s="4">
        <f t="shared" ca="1" si="14"/>
        <v>7.48595890410959</v>
      </c>
      <c r="AF19" s="4">
        <f t="shared" ca="1" si="15"/>
        <v>0</v>
      </c>
      <c r="AG19" s="4">
        <f t="shared" ca="1" si="16"/>
        <v>0</v>
      </c>
      <c r="AH19" s="4">
        <f t="shared" ca="1" si="17"/>
        <v>1.0154109589041096</v>
      </c>
      <c r="AI19" s="4">
        <f t="shared" ca="1" si="18"/>
        <v>0.61986301369863017</v>
      </c>
      <c r="AJ19" s="4">
        <f t="shared" ca="1" si="19"/>
        <v>11.984931506849314</v>
      </c>
      <c r="AK19" s="28">
        <f t="shared" ca="1" si="20"/>
        <v>0.60944723618090457</v>
      </c>
      <c r="AL19" s="28">
        <f t="shared" ca="1" si="21"/>
        <v>1.2853333333333334</v>
      </c>
      <c r="AM19" s="28" t="str">
        <f t="shared" ca="1" si="22"/>
        <v>-</v>
      </c>
      <c r="AN19" s="28" t="str">
        <f t="shared" ca="1" si="23"/>
        <v>-</v>
      </c>
      <c r="AO19" s="28">
        <f t="shared" ca="1" si="24"/>
        <v>1.0017436791630339</v>
      </c>
      <c r="AP19" s="28">
        <f t="shared" ca="1" si="25"/>
        <v>0.86237285672769537</v>
      </c>
      <c r="AQ19" s="28" t="str">
        <f t="shared" ca="1" si="26"/>
        <v>-</v>
      </c>
      <c r="AR19" s="28" t="str">
        <f t="shared" ca="1" si="27"/>
        <v>-</v>
      </c>
      <c r="AS19" s="28">
        <f t="shared" ca="1" si="28"/>
        <v>2.2807692307692307</v>
      </c>
      <c r="AT19" s="28">
        <f t="shared" ca="1" si="29"/>
        <v>0.53235294117647058</v>
      </c>
    </row>
    <row r="20" spans="1:46" ht="30" x14ac:dyDescent="0.2">
      <c r="A20" s="31" t="str" cm="1">
        <f t="array" aca="1" ref="A20" ca="1">INDIRECT("D" &amp; ROW())&amp;INDIRECT("F" &amp; ROW())</f>
        <v>RLY88Ward 5</v>
      </c>
      <c r="D20" s="57" t="str">
        <f t="shared" si="12"/>
        <v>RLY88</v>
      </c>
      <c r="E20" s="75" t="s">
        <v>2489</v>
      </c>
      <c r="F20" s="26" t="s">
        <v>9650</v>
      </c>
      <c r="G20" s="2" t="s">
        <v>15308</v>
      </c>
      <c r="H20" s="59"/>
      <c r="I20" s="3">
        <v>1327.5</v>
      </c>
      <c r="J20" s="5">
        <v>1065.48</v>
      </c>
      <c r="K20" s="5">
        <v>2377.5</v>
      </c>
      <c r="L20" s="5">
        <v>2236.9499999999998</v>
      </c>
      <c r="M20" s="5">
        <v>0</v>
      </c>
      <c r="N20" s="5">
        <v>0</v>
      </c>
      <c r="O20" s="5">
        <v>0</v>
      </c>
      <c r="P20" s="5">
        <v>0</v>
      </c>
      <c r="Q20" s="5">
        <v>688.2</v>
      </c>
      <c r="R20" s="5">
        <v>417.95</v>
      </c>
      <c r="S20" s="6">
        <v>1931.4</v>
      </c>
      <c r="T20" s="5">
        <v>1950.15</v>
      </c>
      <c r="U20" s="5">
        <v>0</v>
      </c>
      <c r="V20" s="6">
        <v>0</v>
      </c>
      <c r="W20" s="6">
        <v>0</v>
      </c>
      <c r="X20" s="6">
        <v>0</v>
      </c>
      <c r="Y20" s="6">
        <v>264</v>
      </c>
      <c r="Z20" s="6">
        <v>228.33</v>
      </c>
      <c r="AA20" s="6">
        <v>330</v>
      </c>
      <c r="AB20" s="6">
        <v>120.08</v>
      </c>
      <c r="AC20" s="6">
        <v>210</v>
      </c>
      <c r="AD20" s="4">
        <f t="shared" ca="1" si="13"/>
        <v>7.0639523809523812</v>
      </c>
      <c r="AE20" s="4">
        <f t="shared" ca="1" si="14"/>
        <v>19.938571428571429</v>
      </c>
      <c r="AF20" s="4">
        <f t="shared" ca="1" si="15"/>
        <v>0</v>
      </c>
      <c r="AG20" s="4">
        <f t="shared" ca="1" si="16"/>
        <v>0</v>
      </c>
      <c r="AH20" s="4">
        <f t="shared" ca="1" si="17"/>
        <v>1.0872857142857144</v>
      </c>
      <c r="AI20" s="4">
        <f t="shared" ca="1" si="18"/>
        <v>0.57180952380952377</v>
      </c>
      <c r="AJ20" s="4">
        <f t="shared" ca="1" si="19"/>
        <v>28.661619047619045</v>
      </c>
      <c r="AK20" s="28">
        <f t="shared" ca="1" si="20"/>
        <v>0.80262146892655373</v>
      </c>
      <c r="AL20" s="28">
        <f t="shared" ca="1" si="21"/>
        <v>0.94088328075709771</v>
      </c>
      <c r="AM20" s="28" t="str">
        <f t="shared" ca="1" si="22"/>
        <v>-</v>
      </c>
      <c r="AN20" s="28" t="str">
        <f t="shared" ca="1" si="23"/>
        <v>-</v>
      </c>
      <c r="AO20" s="28">
        <f t="shared" ca="1" si="24"/>
        <v>0.60730892182505081</v>
      </c>
      <c r="AP20" s="28">
        <f t="shared" ca="1" si="25"/>
        <v>1.0097079838459149</v>
      </c>
      <c r="AQ20" s="28" t="str">
        <f t="shared" ca="1" si="26"/>
        <v>-</v>
      </c>
      <c r="AR20" s="28" t="str">
        <f t="shared" ca="1" si="27"/>
        <v>-</v>
      </c>
      <c r="AS20" s="28">
        <f t="shared" ca="1" si="28"/>
        <v>0.86488636363636373</v>
      </c>
      <c r="AT20" s="28">
        <f t="shared" ca="1" si="29"/>
        <v>0.36387878787878786</v>
      </c>
    </row>
    <row r="21" spans="1:46" ht="30" x14ac:dyDescent="0.2">
      <c r="A21" s="31" t="str" cm="1">
        <f t="array" aca="1" ref="A21" ca="1">INDIRECT("D" &amp; ROW())&amp;INDIRECT("F" &amp; ROW())</f>
        <v>RLY88Ward 6</v>
      </c>
      <c r="D21" s="57" t="str">
        <f t="shared" si="12"/>
        <v>RLY88</v>
      </c>
      <c r="E21" s="75" t="s">
        <v>2489</v>
      </c>
      <c r="F21" s="26" t="s">
        <v>9687</v>
      </c>
      <c r="G21" s="2" t="s">
        <v>15308</v>
      </c>
      <c r="H21" s="59"/>
      <c r="I21" s="3">
        <v>1179</v>
      </c>
      <c r="J21" s="5">
        <v>963.08</v>
      </c>
      <c r="K21" s="5">
        <v>2092.5</v>
      </c>
      <c r="L21" s="5">
        <v>1931.53</v>
      </c>
      <c r="M21" s="5">
        <v>148.5</v>
      </c>
      <c r="N21" s="5">
        <v>148.5</v>
      </c>
      <c r="O21" s="5">
        <v>0</v>
      </c>
      <c r="P21" s="5">
        <v>0</v>
      </c>
      <c r="Q21" s="5">
        <v>688.2</v>
      </c>
      <c r="R21" s="5">
        <v>479.1</v>
      </c>
      <c r="S21" s="6">
        <v>1376.4</v>
      </c>
      <c r="T21" s="5">
        <v>1487.4</v>
      </c>
      <c r="U21" s="5">
        <v>0</v>
      </c>
      <c r="V21" s="6">
        <v>0</v>
      </c>
      <c r="W21" s="6">
        <v>0</v>
      </c>
      <c r="X21" s="6">
        <v>0</v>
      </c>
      <c r="Y21" s="6">
        <v>165</v>
      </c>
      <c r="Z21" s="6">
        <v>131.5</v>
      </c>
      <c r="AA21" s="6">
        <v>495</v>
      </c>
      <c r="AB21" s="6">
        <v>388.75</v>
      </c>
      <c r="AC21" s="6">
        <v>396</v>
      </c>
      <c r="AD21" s="4">
        <f t="shared" ca="1" si="13"/>
        <v>3.6418686868686869</v>
      </c>
      <c r="AE21" s="4">
        <f t="shared" ca="1" si="14"/>
        <v>8.6336616161616178</v>
      </c>
      <c r="AF21" s="4">
        <f t="shared" ca="1" si="15"/>
        <v>0.375</v>
      </c>
      <c r="AG21" s="4">
        <f t="shared" ca="1" si="16"/>
        <v>0</v>
      </c>
      <c r="AH21" s="4">
        <f t="shared" ca="1" si="17"/>
        <v>0.33207070707070707</v>
      </c>
      <c r="AI21" s="4">
        <f t="shared" ca="1" si="18"/>
        <v>0.98169191919191923</v>
      </c>
      <c r="AJ21" s="4">
        <f t="shared" ca="1" si="19"/>
        <v>13.964292929292931</v>
      </c>
      <c r="AK21" s="28">
        <f t="shared" ca="1" si="20"/>
        <v>0.81686174724342664</v>
      </c>
      <c r="AL21" s="28">
        <f t="shared" ca="1" si="21"/>
        <v>0.92307287933094384</v>
      </c>
      <c r="AM21" s="28">
        <f t="shared" ca="1" si="22"/>
        <v>1</v>
      </c>
      <c r="AN21" s="28" t="str">
        <f t="shared" ca="1" si="23"/>
        <v>-</v>
      </c>
      <c r="AO21" s="28">
        <f t="shared" ca="1" si="24"/>
        <v>0.69616390584132515</v>
      </c>
      <c r="AP21" s="28">
        <f t="shared" ca="1" si="25"/>
        <v>1.0806451612903225</v>
      </c>
      <c r="AQ21" s="28" t="str">
        <f t="shared" ca="1" si="26"/>
        <v>-</v>
      </c>
      <c r="AR21" s="28" t="str">
        <f t="shared" ca="1" si="27"/>
        <v>-</v>
      </c>
      <c r="AS21" s="28">
        <f t="shared" ca="1" si="28"/>
        <v>0.79696969696969699</v>
      </c>
      <c r="AT21" s="28">
        <f t="shared" ca="1" si="29"/>
        <v>0.78535353535353536</v>
      </c>
    </row>
    <row r="22" spans="1:46" ht="30" x14ac:dyDescent="0.2">
      <c r="A22" s="31" t="str" cm="1">
        <f t="array" aca="1" ref="A22" ca="1">INDIRECT("D" &amp; ROW())&amp;INDIRECT("F" &amp; ROW())</f>
        <v>RLY88Ward 7</v>
      </c>
      <c r="D22" s="57" t="str">
        <f t="shared" si="12"/>
        <v>RLY88</v>
      </c>
      <c r="E22" s="76" t="s">
        <v>2489</v>
      </c>
      <c r="F22" s="26" t="s">
        <v>9688</v>
      </c>
      <c r="G22" s="2" t="s">
        <v>15308</v>
      </c>
      <c r="H22" s="59"/>
      <c r="I22" s="3">
        <v>1327.5</v>
      </c>
      <c r="J22" s="5">
        <v>977.67</v>
      </c>
      <c r="K22" s="5">
        <v>1162.5</v>
      </c>
      <c r="L22" s="5">
        <v>1407.47</v>
      </c>
      <c r="M22" s="5">
        <v>0</v>
      </c>
      <c r="N22" s="5">
        <v>0</v>
      </c>
      <c r="O22" s="5">
        <v>0</v>
      </c>
      <c r="P22" s="5">
        <v>0</v>
      </c>
      <c r="Q22" s="5">
        <v>344.1</v>
      </c>
      <c r="R22" s="5">
        <v>348.6</v>
      </c>
      <c r="S22" s="6">
        <v>688.2</v>
      </c>
      <c r="T22" s="5">
        <v>977.6</v>
      </c>
      <c r="U22" s="5">
        <v>0</v>
      </c>
      <c r="V22" s="6">
        <v>0</v>
      </c>
      <c r="W22" s="6">
        <v>0</v>
      </c>
      <c r="X22" s="6">
        <v>0</v>
      </c>
      <c r="Y22" s="6">
        <v>255</v>
      </c>
      <c r="Z22" s="6">
        <v>405</v>
      </c>
      <c r="AA22" s="6">
        <v>495</v>
      </c>
      <c r="AB22" s="6">
        <v>330</v>
      </c>
      <c r="AC22" s="6">
        <v>492</v>
      </c>
      <c r="AD22" s="4">
        <f t="shared" ca="1" si="13"/>
        <v>2.6956707317073172</v>
      </c>
      <c r="AE22" s="4">
        <f t="shared" ca="1" si="14"/>
        <v>4.8477032520325203</v>
      </c>
      <c r="AF22" s="4">
        <f t="shared" ca="1" si="15"/>
        <v>0</v>
      </c>
      <c r="AG22" s="4">
        <f t="shared" ca="1" si="16"/>
        <v>0</v>
      </c>
      <c r="AH22" s="4">
        <f t="shared" ca="1" si="17"/>
        <v>0.82317073170731703</v>
      </c>
      <c r="AI22" s="4">
        <f t="shared" ca="1" si="18"/>
        <v>0.67073170731707321</v>
      </c>
      <c r="AJ22" s="4">
        <f t="shared" ca="1" si="19"/>
        <v>9.0372764227642275</v>
      </c>
      <c r="AK22" s="28">
        <f t="shared" ca="1" si="20"/>
        <v>0.7364745762711864</v>
      </c>
      <c r="AL22" s="28">
        <f t="shared" ca="1" si="21"/>
        <v>1.2107268817204302</v>
      </c>
      <c r="AM22" s="28" t="str">
        <f t="shared" ca="1" si="22"/>
        <v>-</v>
      </c>
      <c r="AN22" s="28" t="str">
        <f t="shared" ca="1" si="23"/>
        <v>-</v>
      </c>
      <c r="AO22" s="28">
        <f t="shared" ca="1" si="24"/>
        <v>1.013077593722755</v>
      </c>
      <c r="AP22" s="28">
        <f t="shared" ca="1" si="25"/>
        <v>1.4205172914850333</v>
      </c>
      <c r="AQ22" s="28" t="str">
        <f t="shared" ca="1" si="26"/>
        <v>-</v>
      </c>
      <c r="AR22" s="28" t="str">
        <f t="shared" ca="1" si="27"/>
        <v>-</v>
      </c>
      <c r="AS22" s="28">
        <f t="shared" ca="1" si="28"/>
        <v>1.588235294117647</v>
      </c>
      <c r="AT22" s="28">
        <f t="shared" ca="1" si="29"/>
        <v>0.66666666666666663</v>
      </c>
    </row>
    <row r="23" spans="1:46" ht="30" x14ac:dyDescent="0.2">
      <c r="A23" s="31" t="str" cm="1">
        <f t="array" aca="1" ref="A23" ca="1">INDIRECT("D" &amp; ROW())&amp;INDIRECT("F" &amp; ROW())</f>
        <v>RLY88A&amp;T</v>
      </c>
      <c r="D23" s="57" t="str">
        <f t="shared" si="12"/>
        <v>RLY88</v>
      </c>
      <c r="E23" s="76" t="s">
        <v>2489</v>
      </c>
      <c r="F23" s="26" t="s">
        <v>12403</v>
      </c>
      <c r="G23" s="2" t="s">
        <v>15293</v>
      </c>
      <c r="H23" s="59"/>
      <c r="I23" s="3">
        <v>928.5</v>
      </c>
      <c r="J23" s="5">
        <v>827.5</v>
      </c>
      <c r="K23" s="5">
        <v>1162.5</v>
      </c>
      <c r="L23" s="5">
        <v>1551.75</v>
      </c>
      <c r="M23" s="5">
        <v>0</v>
      </c>
      <c r="N23" s="5">
        <v>0</v>
      </c>
      <c r="O23" s="5">
        <v>0</v>
      </c>
      <c r="P23" s="5">
        <v>0</v>
      </c>
      <c r="Q23" s="5">
        <v>688.2</v>
      </c>
      <c r="R23" s="5">
        <v>356.1</v>
      </c>
      <c r="S23" s="6">
        <v>1376.4</v>
      </c>
      <c r="T23" s="5">
        <v>1732.9</v>
      </c>
      <c r="U23" s="5">
        <v>0</v>
      </c>
      <c r="V23" s="6">
        <v>0</v>
      </c>
      <c r="W23" s="6">
        <v>0</v>
      </c>
      <c r="X23" s="6">
        <v>0</v>
      </c>
      <c r="Y23" s="6">
        <v>165</v>
      </c>
      <c r="Z23" s="6">
        <v>165</v>
      </c>
      <c r="AA23" s="6">
        <v>165</v>
      </c>
      <c r="AB23" s="6">
        <v>165</v>
      </c>
      <c r="AC23" s="6">
        <v>155</v>
      </c>
      <c r="AD23" s="4">
        <f t="shared" ca="1" si="13"/>
        <v>7.6361290322580642</v>
      </c>
      <c r="AE23" s="4">
        <f t="shared" ca="1" si="14"/>
        <v>21.191290322580645</v>
      </c>
      <c r="AF23" s="4">
        <f t="shared" ca="1" si="15"/>
        <v>0</v>
      </c>
      <c r="AG23" s="4">
        <f t="shared" ca="1" si="16"/>
        <v>0</v>
      </c>
      <c r="AH23" s="4">
        <f t="shared" ca="1" si="17"/>
        <v>1.064516129032258</v>
      </c>
      <c r="AI23" s="4">
        <f t="shared" ca="1" si="18"/>
        <v>1.064516129032258</v>
      </c>
      <c r="AJ23" s="4">
        <f t="shared" ca="1" si="19"/>
        <v>30.956451612903226</v>
      </c>
      <c r="AK23" s="28">
        <f t="shared" ca="1" si="20"/>
        <v>0.89122240172320943</v>
      </c>
      <c r="AL23" s="28">
        <f t="shared" ca="1" si="21"/>
        <v>1.3348387096774192</v>
      </c>
      <c r="AM23" s="28" t="str">
        <f t="shared" ca="1" si="22"/>
        <v>-</v>
      </c>
      <c r="AN23" s="28" t="str">
        <f t="shared" ca="1" si="23"/>
        <v>-</v>
      </c>
      <c r="AO23" s="28">
        <f t="shared" ca="1" si="24"/>
        <v>0.51743679163034006</v>
      </c>
      <c r="AP23" s="28">
        <f t="shared" ca="1" si="25"/>
        <v>1.2590090090090089</v>
      </c>
      <c r="AQ23" s="28" t="str">
        <f t="shared" ca="1" si="26"/>
        <v>-</v>
      </c>
      <c r="AR23" s="28" t="str">
        <f t="shared" ca="1" si="27"/>
        <v>-</v>
      </c>
      <c r="AS23" s="28">
        <f t="shared" ca="1" si="28"/>
        <v>1</v>
      </c>
      <c r="AT23" s="28">
        <f t="shared" ca="1" si="29"/>
        <v>1</v>
      </c>
    </row>
    <row r="24" spans="1:46" ht="30" x14ac:dyDescent="0.2">
      <c r="A24" s="31" t="str" cm="1">
        <f t="array" aca="1" ref="A24" ca="1">INDIRECT("D" &amp; ROW())&amp;INDIRECT("F" &amp; ROW())</f>
        <v>RLY88Edward Myers</v>
      </c>
      <c r="D24" s="57" t="str">
        <f t="shared" si="12"/>
        <v>RLY88</v>
      </c>
      <c r="E24" s="76" t="s">
        <v>2489</v>
      </c>
      <c r="F24" s="26" t="s">
        <v>12404</v>
      </c>
      <c r="G24" s="2" t="s">
        <v>15296</v>
      </c>
      <c r="H24" s="59"/>
      <c r="I24" s="3">
        <v>955.5</v>
      </c>
      <c r="J24" s="5">
        <v>846.5</v>
      </c>
      <c r="K24" s="5">
        <v>1162.5</v>
      </c>
      <c r="L24" s="5">
        <v>711.25</v>
      </c>
      <c r="M24" s="5">
        <v>0</v>
      </c>
      <c r="N24" s="5">
        <v>0</v>
      </c>
      <c r="O24" s="5">
        <v>0</v>
      </c>
      <c r="P24" s="5">
        <v>0</v>
      </c>
      <c r="Q24" s="5">
        <v>344.1</v>
      </c>
      <c r="R24" s="5">
        <v>368.1</v>
      </c>
      <c r="S24" s="6">
        <v>688.2</v>
      </c>
      <c r="T24" s="5">
        <v>533.70000000000005</v>
      </c>
      <c r="U24" s="5">
        <v>0</v>
      </c>
      <c r="V24" s="6">
        <v>0</v>
      </c>
      <c r="W24" s="6">
        <v>0</v>
      </c>
      <c r="X24" s="6">
        <v>0</v>
      </c>
      <c r="Y24" s="6">
        <v>0</v>
      </c>
      <c r="Z24" s="6">
        <v>0</v>
      </c>
      <c r="AA24" s="6">
        <v>0</v>
      </c>
      <c r="AB24" s="6">
        <v>0</v>
      </c>
      <c r="AC24" s="6">
        <v>276</v>
      </c>
      <c r="AD24" s="4">
        <f t="shared" ca="1" si="13"/>
        <v>4.4007246376811588</v>
      </c>
      <c r="AE24" s="4">
        <f t="shared" ca="1" si="14"/>
        <v>4.5106884057971017</v>
      </c>
      <c r="AF24" s="4">
        <f t="shared" ca="1" si="15"/>
        <v>0</v>
      </c>
      <c r="AG24" s="4">
        <f t="shared" ca="1" si="16"/>
        <v>0</v>
      </c>
      <c r="AH24" s="4">
        <f t="shared" ca="1" si="17"/>
        <v>0</v>
      </c>
      <c r="AI24" s="4">
        <f t="shared" ca="1" si="18"/>
        <v>0</v>
      </c>
      <c r="AJ24" s="4">
        <f t="shared" ca="1" si="19"/>
        <v>8.9114130434782624</v>
      </c>
      <c r="AK24" s="28">
        <f t="shared" ca="1" si="20"/>
        <v>0.88592360020931449</v>
      </c>
      <c r="AL24" s="28">
        <f t="shared" ca="1" si="21"/>
        <v>0.6118279569892473</v>
      </c>
      <c r="AM24" s="28" t="str">
        <f t="shared" ca="1" si="22"/>
        <v>-</v>
      </c>
      <c r="AN24" s="28" t="str">
        <f t="shared" ca="1" si="23"/>
        <v>-</v>
      </c>
      <c r="AO24" s="28">
        <f t="shared" ca="1" si="24"/>
        <v>1.06974716652136</v>
      </c>
      <c r="AP24" s="28">
        <f t="shared" ca="1" si="25"/>
        <v>0.77550130775937232</v>
      </c>
      <c r="AQ24" s="28" t="str">
        <f t="shared" ca="1" si="26"/>
        <v>-</v>
      </c>
      <c r="AR24" s="28" t="str">
        <f t="shared" ca="1" si="27"/>
        <v>-</v>
      </c>
      <c r="AS24" s="28" t="str">
        <f t="shared" ca="1" si="28"/>
        <v>-</v>
      </c>
      <c r="AT24" s="28" t="str">
        <f t="shared" ca="1" si="29"/>
        <v>-</v>
      </c>
    </row>
    <row r="25" spans="1:46" ht="45" x14ac:dyDescent="0.2">
      <c r="A25" s="31" t="str" cm="1">
        <f t="array" aca="1" ref="A25" ca="1">INDIRECT("D" &amp; ROW())&amp;INDIRECT("F" &amp; ROW())</f>
        <v>RLY86Darwin Centre</v>
      </c>
      <c r="D25" s="57" t="str">
        <f t="shared" si="12"/>
        <v>RLY86</v>
      </c>
      <c r="E25" s="76" t="s">
        <v>2477</v>
      </c>
      <c r="F25" s="26" t="s">
        <v>12402</v>
      </c>
      <c r="G25" s="2" t="s">
        <v>15299</v>
      </c>
      <c r="H25" s="59"/>
      <c r="I25" s="3">
        <v>1327.5</v>
      </c>
      <c r="J25" s="5">
        <v>900.75</v>
      </c>
      <c r="K25" s="5">
        <v>2842.5</v>
      </c>
      <c r="L25" s="5">
        <v>1914.25</v>
      </c>
      <c r="M25" s="5">
        <v>0</v>
      </c>
      <c r="N25" s="5">
        <v>0</v>
      </c>
      <c r="O25" s="5">
        <v>0</v>
      </c>
      <c r="P25" s="5">
        <v>0</v>
      </c>
      <c r="Q25" s="5">
        <v>688.2</v>
      </c>
      <c r="R25" s="5">
        <v>410.7</v>
      </c>
      <c r="S25" s="6">
        <v>1720.5</v>
      </c>
      <c r="T25" s="5">
        <v>1462.65</v>
      </c>
      <c r="U25" s="5">
        <v>0</v>
      </c>
      <c r="V25" s="6">
        <v>0</v>
      </c>
      <c r="W25" s="6">
        <v>0</v>
      </c>
      <c r="X25" s="6">
        <v>0</v>
      </c>
      <c r="Y25" s="6">
        <v>598.48</v>
      </c>
      <c r="Z25" s="6">
        <v>395</v>
      </c>
      <c r="AA25" s="6">
        <v>165</v>
      </c>
      <c r="AB25" s="6">
        <v>0</v>
      </c>
      <c r="AC25" s="6">
        <v>317</v>
      </c>
      <c r="AD25" s="4">
        <f t="shared" ca="1" si="13"/>
        <v>4.1370662460567829</v>
      </c>
      <c r="AE25" s="4">
        <f t="shared" ca="1" si="14"/>
        <v>10.652681388012619</v>
      </c>
      <c r="AF25" s="4">
        <f t="shared" ca="1" si="15"/>
        <v>0</v>
      </c>
      <c r="AG25" s="4">
        <f t="shared" ca="1" si="16"/>
        <v>0</v>
      </c>
      <c r="AH25" s="4">
        <f t="shared" ca="1" si="17"/>
        <v>1.2460567823343849</v>
      </c>
      <c r="AI25" s="4">
        <f t="shared" ca="1" si="18"/>
        <v>0</v>
      </c>
      <c r="AJ25" s="4">
        <f t="shared" ca="1" si="19"/>
        <v>16.035804416403785</v>
      </c>
      <c r="AK25" s="28">
        <f t="shared" ca="1" si="20"/>
        <v>0.67853107344632768</v>
      </c>
      <c r="AL25" s="28">
        <f t="shared" ca="1" si="21"/>
        <v>0.67343887423043092</v>
      </c>
      <c r="AM25" s="28" t="str">
        <f t="shared" ca="1" si="22"/>
        <v>-</v>
      </c>
      <c r="AN25" s="28" t="str">
        <f t="shared" ca="1" si="23"/>
        <v>-</v>
      </c>
      <c r="AO25" s="28">
        <f t="shared" ca="1" si="24"/>
        <v>0.59677419354838701</v>
      </c>
      <c r="AP25" s="28">
        <f t="shared" ca="1" si="25"/>
        <v>0.85013077593722763</v>
      </c>
      <c r="AQ25" s="28" t="str">
        <f t="shared" ca="1" si="26"/>
        <v>-</v>
      </c>
      <c r="AR25" s="28" t="str">
        <f t="shared" ca="1" si="27"/>
        <v>-</v>
      </c>
      <c r="AS25" s="28">
        <f t="shared" ca="1" si="28"/>
        <v>0.66000534687875956</v>
      </c>
      <c r="AT25" s="28">
        <f t="shared" ca="1" si="29"/>
        <v>0</v>
      </c>
    </row>
    <row r="26" spans="1:46" ht="30" x14ac:dyDescent="0.2">
      <c r="A26" s="31" t="str" cm="1">
        <f t="array" aca="1" ref="A26" ca="1">INDIRECT("D" &amp; ROW())&amp;INDIRECT("F" &amp; ROW())</f>
        <v>RLY87Summers View</v>
      </c>
      <c r="D26" s="57" t="str">
        <f t="shared" si="12"/>
        <v>RLY87</v>
      </c>
      <c r="E26" s="76" t="s">
        <v>2505</v>
      </c>
      <c r="F26" s="26" t="s">
        <v>12405</v>
      </c>
      <c r="G26" s="2" t="s">
        <v>15296</v>
      </c>
      <c r="H26" s="59"/>
      <c r="I26" s="3">
        <v>930</v>
      </c>
      <c r="J26" s="5">
        <v>623</v>
      </c>
      <c r="K26" s="5">
        <v>930</v>
      </c>
      <c r="L26" s="5">
        <v>1103.25</v>
      </c>
      <c r="M26" s="5">
        <v>0</v>
      </c>
      <c r="N26" s="5">
        <v>0</v>
      </c>
      <c r="O26" s="5">
        <v>0</v>
      </c>
      <c r="P26" s="5">
        <v>0</v>
      </c>
      <c r="Q26" s="5">
        <v>332.32</v>
      </c>
      <c r="R26" s="5">
        <v>343.68</v>
      </c>
      <c r="S26" s="6">
        <v>664.64</v>
      </c>
      <c r="T26" s="5">
        <v>653.35</v>
      </c>
      <c r="U26" s="5">
        <v>0</v>
      </c>
      <c r="V26" s="6">
        <v>0</v>
      </c>
      <c r="W26" s="6">
        <v>0</v>
      </c>
      <c r="X26" s="6">
        <v>0</v>
      </c>
      <c r="Y26" s="6">
        <v>165</v>
      </c>
      <c r="Z26" s="6">
        <v>144.5</v>
      </c>
      <c r="AA26" s="6">
        <v>165</v>
      </c>
      <c r="AB26" s="6">
        <v>0</v>
      </c>
      <c r="AC26" s="6">
        <v>289</v>
      </c>
      <c r="AD26" s="4">
        <f t="shared" ca="1" si="13"/>
        <v>3.3449134948096888</v>
      </c>
      <c r="AE26" s="4">
        <f t="shared" ca="1" si="14"/>
        <v>6.0782006920415226</v>
      </c>
      <c r="AF26" s="4">
        <f t="shared" ca="1" si="15"/>
        <v>0</v>
      </c>
      <c r="AG26" s="4">
        <f t="shared" ca="1" si="16"/>
        <v>0</v>
      </c>
      <c r="AH26" s="4">
        <f t="shared" ca="1" si="17"/>
        <v>0.5</v>
      </c>
      <c r="AI26" s="4">
        <f t="shared" ca="1" si="18"/>
        <v>0</v>
      </c>
      <c r="AJ26" s="4">
        <f t="shared" ca="1" si="19"/>
        <v>9.9231141868512101</v>
      </c>
      <c r="AK26" s="28">
        <f t="shared" ca="1" si="20"/>
        <v>0.6698924731182796</v>
      </c>
      <c r="AL26" s="28">
        <f t="shared" ca="1" si="21"/>
        <v>1.1862903225806452</v>
      </c>
      <c r="AM26" s="28" t="str">
        <f t="shared" ca="1" si="22"/>
        <v>-</v>
      </c>
      <c r="AN26" s="28" t="str">
        <f t="shared" ca="1" si="23"/>
        <v>-</v>
      </c>
      <c r="AO26" s="28">
        <f t="shared" ca="1" si="24"/>
        <v>1.0341839191141069</v>
      </c>
      <c r="AP26" s="28">
        <f t="shared" ca="1" si="25"/>
        <v>0.98301336061627353</v>
      </c>
      <c r="AQ26" s="28" t="str">
        <f t="shared" ca="1" si="26"/>
        <v>-</v>
      </c>
      <c r="AR26" s="28" t="str">
        <f t="shared" ca="1" si="27"/>
        <v>-</v>
      </c>
      <c r="AS26" s="28">
        <f t="shared" ca="1" si="28"/>
        <v>0.87575757575757573</v>
      </c>
      <c r="AT26" s="28">
        <f t="shared" ca="1" si="29"/>
        <v>0</v>
      </c>
    </row>
    <row r="27" spans="1:46" ht="30" x14ac:dyDescent="0.2">
      <c r="A27" s="31" t="str" cm="1">
        <f t="array" aca="1" ref="A27" ca="1">INDIRECT("D" &amp; ROW())&amp;INDIRECT("F" &amp; ROW())</f>
        <v>RLY88PICU</v>
      </c>
      <c r="D27" s="57" t="str">
        <f t="shared" si="12"/>
        <v>RLY88</v>
      </c>
      <c r="E27" s="76" t="s">
        <v>2489</v>
      </c>
      <c r="F27" s="26" t="s">
        <v>9645</v>
      </c>
      <c r="G27" s="2" t="s">
        <v>15296</v>
      </c>
      <c r="H27" s="59"/>
      <c r="I27" s="3">
        <v>1002</v>
      </c>
      <c r="J27" s="5">
        <v>1182</v>
      </c>
      <c r="K27" s="5">
        <v>1837.5</v>
      </c>
      <c r="L27" s="5">
        <v>1692.5</v>
      </c>
      <c r="M27" s="5">
        <v>0</v>
      </c>
      <c r="N27" s="5">
        <v>0</v>
      </c>
      <c r="O27" s="5">
        <v>0</v>
      </c>
      <c r="P27" s="5">
        <v>0</v>
      </c>
      <c r="Q27" s="5">
        <v>688.2</v>
      </c>
      <c r="R27" s="5">
        <v>567.1</v>
      </c>
      <c r="S27" s="6">
        <v>1531.8</v>
      </c>
      <c r="T27" s="5">
        <v>1394.15</v>
      </c>
      <c r="U27" s="5">
        <v>0</v>
      </c>
      <c r="V27" s="6">
        <v>0</v>
      </c>
      <c r="W27" s="6">
        <v>0</v>
      </c>
      <c r="X27" s="6">
        <v>0</v>
      </c>
      <c r="Y27" s="6">
        <v>232.5</v>
      </c>
      <c r="Z27" s="6">
        <v>90</v>
      </c>
      <c r="AA27" s="6">
        <v>232.5</v>
      </c>
      <c r="AB27" s="6">
        <v>127.5</v>
      </c>
      <c r="AC27" s="6">
        <v>136</v>
      </c>
      <c r="AD27" s="4">
        <f t="shared" ca="1" si="13"/>
        <v>12.861029411764704</v>
      </c>
      <c r="AE27" s="4">
        <f t="shared" ca="1" si="14"/>
        <v>22.695955882352941</v>
      </c>
      <c r="AF27" s="4">
        <f t="shared" ca="1" si="15"/>
        <v>0</v>
      </c>
      <c r="AG27" s="4">
        <f t="shared" ca="1" si="16"/>
        <v>0</v>
      </c>
      <c r="AH27" s="4">
        <f t="shared" ca="1" si="17"/>
        <v>0.66176470588235292</v>
      </c>
      <c r="AI27" s="4">
        <f t="shared" ca="1" si="18"/>
        <v>0.9375</v>
      </c>
      <c r="AJ27" s="4">
        <f t="shared" ca="1" si="19"/>
        <v>37.15625</v>
      </c>
      <c r="AK27" s="28">
        <f t="shared" ca="1" si="20"/>
        <v>1.1796407185628743</v>
      </c>
      <c r="AL27" s="28">
        <f t="shared" ca="1" si="21"/>
        <v>0.92108843537414964</v>
      </c>
      <c r="AM27" s="28" t="str">
        <f t="shared" ca="1" si="22"/>
        <v>-</v>
      </c>
      <c r="AN27" s="28" t="str">
        <f t="shared" ca="1" si="23"/>
        <v>-</v>
      </c>
      <c r="AO27" s="28">
        <f t="shared" ca="1" si="24"/>
        <v>0.82403371113048529</v>
      </c>
      <c r="AP27" s="28">
        <f t="shared" ca="1" si="25"/>
        <v>0.91013839926883411</v>
      </c>
      <c r="AQ27" s="28" t="str">
        <f t="shared" ca="1" si="26"/>
        <v>-</v>
      </c>
      <c r="AR27" s="28" t="str">
        <f t="shared" ca="1" si="27"/>
        <v>-</v>
      </c>
      <c r="AS27" s="28">
        <f t="shared" ca="1" si="28"/>
        <v>0.38709677419354838</v>
      </c>
      <c r="AT27" s="28">
        <f t="shared" ca="1" si="29"/>
        <v>0.54838709677419351</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3" t="s">
        <v>15417</v>
      </c>
      <c r="B4" s="123"/>
      <c r="C4" s="123"/>
      <c r="D4" s="123"/>
      <c r="E4" s="123"/>
      <c r="F4" s="123"/>
      <c r="G4" s="123"/>
      <c r="H4" s="123"/>
      <c r="I4" s="123"/>
      <c r="J4" s="123"/>
      <c r="K4" s="123"/>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RLY88Ward 1</v>
      </c>
      <c r="B7" s="68" t="str">
        <f ca="1">IF('Trust - Frontsheet'!A16="","",'Trust - Frontsheet'!D16)</f>
        <v>RLY88</v>
      </c>
      <c r="C7" s="68" t="str">
        <f ca="1">IF(VLOOKUP(A7,'Trust - Frontsheet'!$A$16:$AC$215,5,0)="","",VLOOKUP(A7,'Trust - Frontsheet'!$A$16:$AC$216,5,0))</f>
        <v>HARPLANDS HOSPITAL</v>
      </c>
      <c r="D7" s="68" t="str">
        <f ca="1">IF(VLOOKUP(A7,'Trust - Frontsheet'!$A$16:$AC$215,6,0)="","",VLOOKUP(A7,'Trust - Frontsheet'!$A$16:$AC$216,6,0))</f>
        <v>Ward 1</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RLY88Ward 2</v>
      </c>
      <c r="B8" s="68" t="str">
        <f ca="1">IF('Trust - Frontsheet'!A17="","",'Trust - Frontsheet'!D17)</f>
        <v>RLY88</v>
      </c>
      <c r="C8" s="68" t="str">
        <f ca="1">IF(VLOOKUP(A8,'Trust - Frontsheet'!$A$16:$AC$215,5,0)="","",VLOOKUP(A8,'Trust - Frontsheet'!$A$16:$AC$216,5,0))</f>
        <v>HARPLANDS HOSPITAL</v>
      </c>
      <c r="D8" s="68" t="str">
        <f ca="1">IF(VLOOKUP(A8,'Trust - Frontsheet'!$A$16:$AC$215,6,0)="","",VLOOKUP(A8,'Trust - Frontsheet'!$A$16:$AC$216,6,0))</f>
        <v>Ward 2</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RLY88Ward 3</v>
      </c>
      <c r="B9" s="68" t="str">
        <f ca="1">IF('Trust - Frontsheet'!A18="","",'Trust - Frontsheet'!D18)</f>
        <v>RLY88</v>
      </c>
      <c r="C9" s="68" t="str">
        <f ca="1">IF(VLOOKUP(A9,'Trust - Frontsheet'!$A$16:$AC$215,5,0)="","",VLOOKUP(A9,'Trust - Frontsheet'!$A$16:$AC$216,5,0))</f>
        <v>HARPLANDS HOSPITAL</v>
      </c>
      <c r="D9" s="68" t="str">
        <f ca="1">IF(VLOOKUP(A9,'Trust - Frontsheet'!$A$16:$AC$215,6,0)="","",VLOOKUP(A9,'Trust - Frontsheet'!$A$16:$AC$216,6,0))</f>
        <v>Ward 3</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RLY88Ward 4</v>
      </c>
      <c r="B10" s="68" t="str">
        <f ca="1">IF('Trust - Frontsheet'!A19="","",'Trust - Frontsheet'!D19)</f>
        <v>RLY88</v>
      </c>
      <c r="C10" s="68" t="str">
        <f ca="1">IF(VLOOKUP(A10,'Trust - Frontsheet'!$A$16:$AC$215,5,0)="","",VLOOKUP(A10,'Trust - Frontsheet'!$A$16:$AC$216,5,0))</f>
        <v>HARPLANDS HOSPITAL</v>
      </c>
      <c r="D10" s="68" t="str">
        <f ca="1">IF(VLOOKUP(A10,'Trust - Frontsheet'!$A$16:$AC$215,6,0)="","",VLOOKUP(A10,'Trust - Frontsheet'!$A$16:$AC$216,6,0))</f>
        <v>Ward 4</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RLY88Ward 5</v>
      </c>
      <c r="B11" s="67" t="str">
        <f ca="1">IF('Trust - Frontsheet'!A20="","",'Trust - Frontsheet'!D20)</f>
        <v>RLY88</v>
      </c>
      <c r="C11" s="67" t="str">
        <f ca="1">IF(VLOOKUP(A11,'Trust - Frontsheet'!$A$16:$AC$215,5,0)="","",VLOOKUP(A11,'Trust - Frontsheet'!$A$16:$AC$216,5,0))</f>
        <v>HARPLANDS HOSPITAL</v>
      </c>
      <c r="D11" s="67" t="str">
        <f ca="1">IF(VLOOKUP(A11,'Trust - Frontsheet'!$A$16:$AC$215,6,0)="","",VLOOKUP(A11,'Trust - Frontsheet'!$A$16:$AC$216,6,0))</f>
        <v>Ward 5</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RLY88Ward 6</v>
      </c>
      <c r="B12" s="67" t="str">
        <f ca="1">IF('Trust - Frontsheet'!A21="","",'Trust - Frontsheet'!D21)</f>
        <v>RLY88</v>
      </c>
      <c r="C12" s="67" t="str">
        <f ca="1">IF(VLOOKUP(A12,'Trust - Frontsheet'!$A$16:$AC$215,5,0)="","",VLOOKUP(A12,'Trust - Frontsheet'!$A$16:$AC$216,5,0))</f>
        <v>HARPLANDS HOSPITAL</v>
      </c>
      <c r="D12" s="67" t="str">
        <f ca="1">IF(VLOOKUP(A12,'Trust - Frontsheet'!$A$16:$AC$215,6,0)="","",VLOOKUP(A12,'Trust - Frontsheet'!$A$16:$AC$216,6,0))</f>
        <v>Ward 6</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RLY88Ward 7</v>
      </c>
      <c r="B13" s="67" t="str">
        <f ca="1">IF('Trust - Frontsheet'!A22="","",'Trust - Frontsheet'!D22)</f>
        <v>RLY88</v>
      </c>
      <c r="C13" s="67" t="str">
        <f ca="1">IF(VLOOKUP(A13,'Trust - Frontsheet'!$A$16:$AC$215,5,0)="","",VLOOKUP(A13,'Trust - Frontsheet'!$A$16:$AC$216,5,0))</f>
        <v>HARPLANDS HOSPITAL</v>
      </c>
      <c r="D13" s="67" t="str">
        <f ca="1">IF(VLOOKUP(A13,'Trust - Frontsheet'!$A$16:$AC$215,6,0)="","",VLOOKUP(A13,'Trust - Frontsheet'!$A$16:$AC$216,6,0))</f>
        <v>Ward 7</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RLY88A&amp;T</v>
      </c>
      <c r="B14" s="67" t="str">
        <f ca="1">IF('Trust - Frontsheet'!A23="","",'Trust - Frontsheet'!D23)</f>
        <v>RLY88</v>
      </c>
      <c r="C14" s="67" t="str">
        <f ca="1">IF(VLOOKUP(A14,'Trust - Frontsheet'!$A$16:$AC$215,5,0)="","",VLOOKUP(A14,'Trust - Frontsheet'!$A$16:$AC$216,5,0))</f>
        <v>HARPLANDS HOSPITAL</v>
      </c>
      <c r="D14" s="67" t="str">
        <f ca="1">IF(VLOOKUP(A14,'Trust - Frontsheet'!$A$16:$AC$215,6,0)="","",VLOOKUP(A14,'Trust - Frontsheet'!$A$16:$AC$216,6,0))</f>
        <v>A&amp;T</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RLY88Edward Myers</v>
      </c>
      <c r="B15" s="67" t="str">
        <f ca="1">IF('Trust - Frontsheet'!A24="","",'Trust - Frontsheet'!D24)</f>
        <v>RLY88</v>
      </c>
      <c r="C15" s="67" t="str">
        <f ca="1">IF(VLOOKUP(A15,'Trust - Frontsheet'!$A$16:$AC$215,5,0)="","",VLOOKUP(A15,'Trust - Frontsheet'!$A$16:$AC$216,5,0))</f>
        <v>HARPLANDS HOSPITAL</v>
      </c>
      <c r="D15" s="67" t="str">
        <f ca="1">IF(VLOOKUP(A15,'Trust - Frontsheet'!$A$16:$AC$215,6,0)="","",VLOOKUP(A15,'Trust - Frontsheet'!$A$16:$AC$216,6,0))</f>
        <v>Edward Myers</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RLY86Darwin Centre</v>
      </c>
      <c r="B16" s="67" t="str">
        <f ca="1">IF('Trust - Frontsheet'!A25="","",'Trust - Frontsheet'!D25)</f>
        <v>RLY86</v>
      </c>
      <c r="C16" s="67" t="str">
        <f ca="1">IF(VLOOKUP(A16,'Trust - Frontsheet'!$A$16:$AC$215,5,0)="","",VLOOKUP(A16,'Trust - Frontsheet'!$A$16:$AC$216,5,0))</f>
        <v>DARWIN CENTRE</v>
      </c>
      <c r="D16" s="67" t="str">
        <f ca="1">IF(VLOOKUP(A16,'Trust - Frontsheet'!$A$16:$AC$215,6,0)="","",VLOOKUP(A16,'Trust - Frontsheet'!$A$16:$AC$216,6,0))</f>
        <v>Darwin Centre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RLY87Summers View</v>
      </c>
      <c r="B17" s="67" t="str">
        <f ca="1">IF('Trust - Frontsheet'!A26="","",'Trust - Frontsheet'!D26)</f>
        <v>RLY87</v>
      </c>
      <c r="C17" s="67" t="str">
        <f ca="1">IF(VLOOKUP(A17,'Trust - Frontsheet'!$A$16:$AC$215,5,0)="","",VLOOKUP(A17,'Trust - Frontsheet'!$A$16:$AC$216,5,0))</f>
        <v>SUMMERS VIEW</v>
      </c>
      <c r="D17" s="67" t="str">
        <f ca="1">IF(VLOOKUP(A17,'Trust - Frontsheet'!$A$16:$AC$215,6,0)="","",VLOOKUP(A17,'Trust - Frontsheet'!$A$16:$AC$216,6,0))</f>
        <v>Summers View</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RLY88PICU</v>
      </c>
      <c r="B18" s="67" t="str">
        <f ca="1">IF('Trust - Frontsheet'!A27="","",'Trust - Frontsheet'!D27)</f>
        <v>RLY88</v>
      </c>
      <c r="C18" s="67" t="str">
        <f ca="1">IF(VLOOKUP(A18,'Trust - Frontsheet'!$A$16:$AC$215,5,0)="","",VLOOKUP(A18,'Trust - Frontsheet'!$A$16:$AC$216,5,0))</f>
        <v>HARPLANDS HOSPITAL</v>
      </c>
      <c r="D18" s="67" t="str">
        <f ca="1">IF(VLOOKUP(A18,'Trust - Frontsheet'!$A$16:$AC$215,6,0)="","",VLOOKUP(A18,'Trust - Frontsheet'!$A$16:$AC$216,6,0))</f>
        <v>PICU</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15412</v>
      </c>
      <c r="C5" s="124"/>
      <c r="D5" s="124"/>
      <c r="E5" s="124"/>
      <c r="F5" s="124"/>
      <c r="G5" s="124"/>
      <c r="H5" s="124"/>
      <c r="I5" s="124"/>
      <c r="J5" s="124"/>
      <c r="K5" s="124"/>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Registered Nurses/Midwives Avg Day Fill rate not between 80 and 150%</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15416</v>
      </c>
      <c r="B10" s="123"/>
      <c r="C10" s="123"/>
      <c r="D10" s="123"/>
      <c r="E10" s="123"/>
      <c r="F10" s="123"/>
      <c r="G10" s="123"/>
      <c r="H10" s="123"/>
      <c r="I10" s="123"/>
      <c r="J10" s="123"/>
      <c r="K10" s="123"/>
      <c r="L10" s="123"/>
      <c r="M10" s="123"/>
      <c r="N10" s="123"/>
      <c r="O10" s="123"/>
      <c r="P10" s="123"/>
      <c r="Q10" s="123"/>
      <c r="R10" s="123"/>
      <c r="S10" s="123"/>
    </row>
    <row r="11" spans="1:19" ht="15.75" x14ac:dyDescent="0.25">
      <c r="E11" s="72" cm="1">
        <f t="array" aca="1" ref="E11" ca="1">SUM(--(LEN(E14:E213)&gt;0))</f>
        <v>0</v>
      </c>
      <c r="F11" s="72" cm="1">
        <f t="array" aca="1" ref="F11" ca="1">SUM(--(LEN(F14:F213)&gt;0))</f>
        <v>6</v>
      </c>
      <c r="G11" s="72" cm="1">
        <f t="array" aca="1" ref="G11" ca="1">SUM(--(LEN(G14:G213)&gt;0))</f>
        <v>0</v>
      </c>
      <c r="H11" s="72" cm="1">
        <f t="array" aca="1" ref="H11" ca="1">SUM(--(LEN(H14:H213)&gt;0))</f>
        <v>0</v>
      </c>
      <c r="I11" s="72" cm="1">
        <f t="array" aca="1" ref="I11" ca="1">SUM(--(LEN(I14:I213)&gt;0))</f>
        <v>5</v>
      </c>
      <c r="J11" s="72" cm="1">
        <f t="array" aca="1" ref="J11" ca="1">SUM(--(LEN(J14:J213)&gt;0))</f>
        <v>7</v>
      </c>
      <c r="K11" s="72" cm="1">
        <f t="array" aca="1" ref="K11" ca="1">SUM(--(LEN(K14:K213)&gt;0))</f>
        <v>0</v>
      </c>
      <c r="L11" s="72" cm="1">
        <f t="array" aca="1" ref="L11" ca="1">SUM(--(LEN(L14:L213)&gt;0))</f>
        <v>0</v>
      </c>
      <c r="M11" s="72" cm="1">
        <f t="array" aca="1" ref="M11" ca="1">SUM(--(LEN(M14:M213)&gt;0))</f>
        <v>6</v>
      </c>
      <c r="N11" s="72" cm="1">
        <f t="array" aca="1" ref="N11" ca="1">SUM(--(LEN(N14:N213)&gt;0))</f>
        <v>1</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5" t="s">
        <v>15415</v>
      </c>
      <c r="C12" s="125"/>
      <c r="D12" s="125"/>
      <c r="E12" s="125"/>
      <c r="F12" s="125"/>
      <c r="G12" s="125"/>
      <c r="H12" s="125"/>
      <c r="I12" s="125"/>
      <c r="J12" s="125"/>
      <c r="K12" s="125"/>
      <c r="L12" s="125"/>
      <c r="M12" s="125"/>
      <c r="N12" s="125"/>
      <c r="O12" s="125"/>
      <c r="P12" s="125"/>
      <c r="Q12" s="125"/>
      <c r="R12" s="125"/>
      <c r="S12" s="125"/>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RLY88Ward 1</v>
      </c>
      <c r="B14" s="68" t="str">
        <f ca="1">IF('Trust - Frontsheet'!A16="","",'Trust - Frontsheet'!D16)</f>
        <v>RLY88</v>
      </c>
      <c r="C14" s="68" t="str">
        <f ca="1">IF(VLOOKUP(A14,'Trust - Frontsheet'!$A$16:$AC$215,5,0)="","",VLOOKUP(A14,'Trust - Frontsheet'!$A$16:$AC$216,5,0))</f>
        <v>HARPLANDS HOSPITAL</v>
      </c>
      <c r="D14" s="68" t="str">
        <f ca="1">IF(VLOOKUP(A14,'Trust - Frontsheet'!$A$16:$AC$215,6,0)="","",VLOOKUP(A14,'Trust - Frontsheet'!$A$16:$AC$216,6,0))</f>
        <v>Ward 1</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Registered Allied Health Professionals Avg Fill rate &gt; 100%</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RLY88Ward 2</v>
      </c>
      <c r="B15" s="68" t="str">
        <f ca="1">IF('Trust - Frontsheet'!A17="","",'Trust - Frontsheet'!D17)</f>
        <v>RLY88</v>
      </c>
      <c r="C15" s="68" t="str">
        <f ca="1">IF(VLOOKUP(A15,'Trust - Frontsheet'!$A$16:$AC$215,5,0)="","",VLOOKUP(A15,'Trust - Frontsheet'!$A$16:$AC$216,5,0))</f>
        <v>HARPLANDS HOSPITAL</v>
      </c>
      <c r="D15" s="68" t="str">
        <f ca="1">IF(VLOOKUP(A15,'Trust - Frontsheet'!$A$16:$AC$215,6,0)="","",VLOOKUP(A15,'Trust - Frontsheet'!$A$16:$AC$216,6,0))</f>
        <v>Ward 2</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Registered Allied Health Professionals Avg Fill rate &gt; 100%</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RLY88Ward 3</v>
      </c>
      <c r="B16" s="68" t="str">
        <f ca="1">IF('Trust - Frontsheet'!A18="","",'Trust - Frontsheet'!D18)</f>
        <v>RLY88</v>
      </c>
      <c r="C16" s="68" t="str">
        <f ca="1">IF(VLOOKUP(A16,'Trust - Frontsheet'!$A$16:$AC$215,5,0)="","",VLOOKUP(A16,'Trust - Frontsheet'!$A$16:$AC$216,5,0))</f>
        <v>HARPLANDS HOSPITAL</v>
      </c>
      <c r="D16" s="68" t="str">
        <f ca="1">IF(VLOOKUP(A16,'Trust - Frontsheet'!$A$16:$AC$215,6,0)="","",VLOOKUP(A16,'Trust - Frontsheet'!$A$16:$AC$216,6,0))</f>
        <v>Ward 3</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Registered Allied Health Professionals Avg Fill rate &gt; 100%</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RLY88Ward 4</v>
      </c>
      <c r="B17" s="68" t="str">
        <f ca="1">IF('Trust - Frontsheet'!A19="","",'Trust - Frontsheet'!D19)</f>
        <v>RLY88</v>
      </c>
      <c r="C17" s="68" t="str">
        <f ca="1">IF(VLOOKUP(A17,'Trust - Frontsheet'!$A$16:$AC$215,5,0)="","",VLOOKUP(A17,'Trust - Frontsheet'!$A$16:$AC$216,5,0))</f>
        <v>HARPLANDS HOSPITAL</v>
      </c>
      <c r="D17" s="68" t="str">
        <f ca="1">IF(VLOOKUP(A17,'Trust - Frontsheet'!$A$16:$AC$215,6,0)="","",VLOOKUP(A17,'Trust - Frontsheet'!$A$16:$AC$216,6,0))</f>
        <v>Ward 4</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Registered Allied Health Professionals Avg Fill rate &gt; 100%</v>
      </c>
      <c r="N17" s="68" t="str">
        <f ca="1">IF(A17="","",IF(AND(ISNUMBER('Trust - Frontsheet'!AT18),'Trust - Frontsheet'!AT18&gt;1),"Non-Registered Allied Health Professionals Avg Fill rate &gt; 100%",""))</f>
        <v>Non-Registered Allied Health Professionals Avg Fill rate &gt; 100%</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RLY88Ward 5</v>
      </c>
      <c r="B18" s="68" t="str">
        <f ca="1">IF('Trust - Frontsheet'!A20="","",'Trust - Frontsheet'!D20)</f>
        <v>RLY88</v>
      </c>
      <c r="C18" s="68" t="str">
        <f ca="1">IF(VLOOKUP(A18,'Trust - Frontsheet'!$A$16:$AC$215,5,0)="","",VLOOKUP(A18,'Trust - Frontsheet'!$A$16:$AC$216,5,0))</f>
        <v>HARPLANDS HOSPITAL</v>
      </c>
      <c r="D18" s="68" t="str">
        <f ca="1">IF(VLOOKUP(A18,'Trust - Frontsheet'!$A$16:$AC$215,6,0)="","",VLOOKUP(A18,'Trust - Frontsheet'!$A$16:$AC$216,6,0))</f>
        <v>Ward 5</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Registered Allied Health Professionals Avg Fill rate &gt; 100%</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RLY88Ward 6</v>
      </c>
      <c r="B19" s="68" t="str">
        <f ca="1">IF('Trust - Frontsheet'!A21="","",'Trust - Frontsheet'!D21)</f>
        <v>RLY88</v>
      </c>
      <c r="C19" s="68" t="str">
        <f ca="1">IF(VLOOKUP(A19,'Trust - Frontsheet'!$A$16:$AC$215,5,0)="","",VLOOKUP(A19,'Trust - Frontsheet'!$A$16:$AC$216,5,0))</f>
        <v>HARPLANDS HOSPITAL</v>
      </c>
      <c r="D19" s="68" t="str">
        <f ca="1">IF(VLOOKUP(A19,'Trust - Frontsheet'!$A$16:$AC$215,6,0)="","",VLOOKUP(A19,'Trust - Frontsheet'!$A$16:$AC$216,6,0))</f>
        <v>Ward 6</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RLY88Ward 7</v>
      </c>
      <c r="B20" s="68" t="str">
        <f ca="1">IF('Trust - Frontsheet'!A22="","",'Trust - Frontsheet'!D22)</f>
        <v>RLY88</v>
      </c>
      <c r="C20" s="68" t="str">
        <f ca="1">IF(VLOOKUP(A20,'Trust - Frontsheet'!$A$16:$AC$215,5,0)="","",VLOOKUP(A20,'Trust - Frontsheet'!$A$16:$AC$216,5,0))</f>
        <v>HARPLANDS HOSPITAL</v>
      </c>
      <c r="D20" s="68" t="str">
        <f ca="1">IF(VLOOKUP(A20,'Trust - Frontsheet'!$A$16:$AC$215,6,0)="","",VLOOKUP(A20,'Trust - Frontsheet'!$A$16:$AC$216,6,0))</f>
        <v>Ward 7</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RLY88A&amp;T</v>
      </c>
      <c r="B21" s="68" t="str">
        <f ca="1">IF('Trust - Frontsheet'!A23="","",'Trust - Frontsheet'!D23)</f>
        <v>RLY88</v>
      </c>
      <c r="C21" s="68" t="str">
        <f ca="1">IF(VLOOKUP(A21,'Trust - Frontsheet'!$A$16:$AC$215,5,0)="","",VLOOKUP(A21,'Trust - Frontsheet'!$A$16:$AC$216,5,0))</f>
        <v>HARPLANDS HOSPITAL</v>
      </c>
      <c r="D21" s="68" t="str">
        <f ca="1">IF(VLOOKUP(A21,'Trust - Frontsheet'!$A$16:$AC$215,6,0)="","",VLOOKUP(A21,'Trust - Frontsheet'!$A$16:$AC$216,6,0))</f>
        <v>A&amp;T</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Registered Allied Health Professionals Avg Fill rate &gt; 100%</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RLY88Edward Myers</v>
      </c>
      <c r="B22" s="68" t="str">
        <f ca="1">IF('Trust - Frontsheet'!A24="","",'Trust - Frontsheet'!D24)</f>
        <v>RLY88</v>
      </c>
      <c r="C22" s="68" t="str">
        <f ca="1">IF(VLOOKUP(A22,'Trust - Frontsheet'!$A$16:$AC$215,5,0)="","",VLOOKUP(A22,'Trust - Frontsheet'!$A$16:$AC$216,5,0))</f>
        <v>HARPLANDS HOSPITAL</v>
      </c>
      <c r="D22" s="68" t="str">
        <f ca="1">IF(VLOOKUP(A22,'Trust - Frontsheet'!$A$16:$AC$215,6,0)="","",VLOOKUP(A22,'Trust - Frontsheet'!$A$16:$AC$216,6,0))</f>
        <v>Edward Myers</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RLY86Darwin Centre</v>
      </c>
      <c r="B23" s="68" t="str">
        <f ca="1">IF('Trust - Frontsheet'!A25="","",'Trust - Frontsheet'!D25)</f>
        <v>RLY86</v>
      </c>
      <c r="C23" s="68" t="str">
        <f ca="1">IF(VLOOKUP(A23,'Trust - Frontsheet'!$A$16:$AC$215,5,0)="","",VLOOKUP(A23,'Trust - Frontsheet'!$A$16:$AC$216,5,0))</f>
        <v>DARWIN CENTRE</v>
      </c>
      <c r="D23" s="68" t="str">
        <f ca="1">IF(VLOOKUP(A23,'Trust - Frontsheet'!$A$16:$AC$215,6,0)="","",VLOOKUP(A23,'Trust - Frontsheet'!$A$16:$AC$216,6,0))</f>
        <v>Darwin Centre</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RLY87Summers View</v>
      </c>
      <c r="B24" s="68" t="str">
        <f ca="1">IF('Trust - Frontsheet'!A26="","",'Trust - Frontsheet'!D26)</f>
        <v>RLY87</v>
      </c>
      <c r="C24" s="68" t="str">
        <f ca="1">IF(VLOOKUP(A24,'Trust - Frontsheet'!$A$16:$AC$215,5,0)="","",VLOOKUP(A24,'Trust - Frontsheet'!$A$16:$AC$216,5,0))</f>
        <v>SUMMERS VIEW</v>
      </c>
      <c r="D24" s="68" t="str">
        <f ca="1">IF(VLOOKUP(A24,'Trust - Frontsheet'!$A$16:$AC$215,6,0)="","",VLOOKUP(A24,'Trust - Frontsheet'!$A$16:$AC$216,6,0))</f>
        <v>Summers View</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RLY88PICU</v>
      </c>
      <c r="B25" s="68" t="str">
        <f ca="1">IF('Trust - Frontsheet'!A27="","",'Trust - Frontsheet'!D27)</f>
        <v>RLY88</v>
      </c>
      <c r="C25" s="68" t="str">
        <f ca="1">IF(VLOOKUP(A25,'Trust - Frontsheet'!$A$16:$AC$215,5,0)="","",VLOOKUP(A25,'Trust - Frontsheet'!$A$16:$AC$216,5,0))</f>
        <v>HARPLANDS HOSPITAL</v>
      </c>
      <c r="D25" s="68" t="str">
        <f ca="1">IF(VLOOKUP(A25,'Trust - Frontsheet'!$A$16:$AC$215,6,0)="","",VLOOKUP(A25,'Trust - Frontsheet'!$A$16:$AC$216,6,0))</f>
        <v>PICU</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1193</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1215</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$I1193:$I1215</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sortState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sortState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2488</v>
      </c>
      <c r="B2" t="s">
        <v>2489</v>
      </c>
      <c r="C2" t="s">
        <v>9646</v>
      </c>
      <c r="D2" t="s">
        <v>15296</v>
      </c>
      <c r="F2">
        <v>1327.5</v>
      </c>
      <c r="G2">
        <v>928.25</v>
      </c>
      <c r="H2">
        <v>1402.5</v>
      </c>
      <c r="I2">
        <v>1188.8699999999999</v>
      </c>
      <c r="J2">
        <v>0</v>
      </c>
      <c r="K2">
        <v>0</v>
      </c>
      <c r="L2">
        <v>0</v>
      </c>
      <c r="M2">
        <v>0</v>
      </c>
      <c r="N2">
        <v>344.1</v>
      </c>
      <c r="O2">
        <v>355.2</v>
      </c>
      <c r="P2">
        <v>1154.4000000000001</v>
      </c>
      <c r="Q2">
        <v>1083.8</v>
      </c>
      <c r="R2">
        <v>0</v>
      </c>
      <c r="S2">
        <v>0</v>
      </c>
      <c r="T2">
        <v>0</v>
      </c>
      <c r="U2">
        <v>0</v>
      </c>
      <c r="V2">
        <v>165</v>
      </c>
      <c r="W2">
        <v>239</v>
      </c>
      <c r="X2">
        <v>330</v>
      </c>
      <c r="Y2">
        <v>275.5</v>
      </c>
      <c r="Z2">
        <v>0.69924670433145009</v>
      </c>
      <c r="AA2">
        <v>0.84767914438502667</v>
      </c>
      <c r="AB2">
        <v>-99</v>
      </c>
      <c r="AC2">
        <v>-99</v>
      </c>
      <c r="AD2">
        <v>1.032258064516129</v>
      </c>
      <c r="AE2">
        <v>0.93884268884268873</v>
      </c>
      <c r="AF2">
        <v>-99</v>
      </c>
      <c r="AG2">
        <v>-99</v>
      </c>
      <c r="AH2">
        <v>1.4484848484848485</v>
      </c>
      <c r="AI2">
        <v>0.83484848484848484</v>
      </c>
      <c r="AJ2">
        <v>325</v>
      </c>
      <c r="AK2">
        <v>3.9490769230769232</v>
      </c>
      <c r="AL2">
        <v>6.9928307692307694</v>
      </c>
      <c r="AM2">
        <v>0</v>
      </c>
      <c r="AN2">
        <v>0</v>
      </c>
      <c r="AO2">
        <v>0.73538461538461541</v>
      </c>
      <c r="AP2">
        <v>0.84769230769230774</v>
      </c>
      <c r="AQ2">
        <v>12.524984615384614</v>
      </c>
      <c r="AR2" t="str">
        <f>IF(A2="","",(IF(ISBLANK('Trust - Frontsheet'!$F$9),"",'Trust - Frontsheet'!$F$9)))</f>
        <v>www.combined.nhs.uk</v>
      </c>
    </row>
    <row r="3" spans="1:44" x14ac:dyDescent="0.2">
      <c r="A3" t="s">
        <v>2488</v>
      </c>
      <c r="B3" t="s">
        <v>2489</v>
      </c>
      <c r="C3" t="s">
        <v>9649</v>
      </c>
      <c r="D3" t="s">
        <v>15296</v>
      </c>
      <c r="F3">
        <v>1327.5</v>
      </c>
      <c r="G3">
        <v>884.25</v>
      </c>
      <c r="H3">
        <v>1162.5</v>
      </c>
      <c r="I3">
        <v>1469.38</v>
      </c>
      <c r="J3">
        <v>0</v>
      </c>
      <c r="K3">
        <v>0</v>
      </c>
      <c r="L3">
        <v>0</v>
      </c>
      <c r="M3">
        <v>0</v>
      </c>
      <c r="N3">
        <v>688.2</v>
      </c>
      <c r="O3">
        <v>530.95000000000005</v>
      </c>
      <c r="P3">
        <v>732.6</v>
      </c>
      <c r="Q3">
        <v>854.4</v>
      </c>
      <c r="R3">
        <v>0</v>
      </c>
      <c r="S3">
        <v>0</v>
      </c>
      <c r="T3">
        <v>0</v>
      </c>
      <c r="U3">
        <v>0</v>
      </c>
      <c r="V3">
        <v>165</v>
      </c>
      <c r="W3">
        <v>279</v>
      </c>
      <c r="X3">
        <v>330</v>
      </c>
      <c r="Y3">
        <v>272</v>
      </c>
      <c r="Z3">
        <v>0.66610169491525428</v>
      </c>
      <c r="AA3">
        <v>1.2639827956989249</v>
      </c>
      <c r="AB3">
        <v>-99</v>
      </c>
      <c r="AC3">
        <v>-99</v>
      </c>
      <c r="AD3">
        <v>0.771505376344086</v>
      </c>
      <c r="AE3">
        <v>1.1662571662571661</v>
      </c>
      <c r="AF3">
        <v>-99</v>
      </c>
      <c r="AG3">
        <v>-99</v>
      </c>
      <c r="AH3">
        <v>1.6909090909090909</v>
      </c>
      <c r="AI3">
        <v>0.82424242424242422</v>
      </c>
      <c r="AJ3">
        <v>509</v>
      </c>
      <c r="AK3">
        <v>2.7803536345776032</v>
      </c>
      <c r="AL3">
        <v>4.5653831041257371</v>
      </c>
      <c r="AM3">
        <v>0</v>
      </c>
      <c r="AN3">
        <v>0</v>
      </c>
      <c r="AO3">
        <v>0.54813359528487227</v>
      </c>
      <c r="AP3">
        <v>0.53438113948919452</v>
      </c>
      <c r="AQ3">
        <v>8.4282514734774061</v>
      </c>
      <c r="AR3" t="str">
        <f>IF(A3="","",(IF(ISBLANK('Trust - Frontsheet'!$F$9),"",'Trust - Frontsheet'!$F$9)))</f>
        <v>www.combined.nhs.uk</v>
      </c>
    </row>
    <row r="4" spans="1:44" x14ac:dyDescent="0.2">
      <c r="A4" t="s">
        <v>2488</v>
      </c>
      <c r="B4" t="s">
        <v>2489</v>
      </c>
      <c r="C4" t="s">
        <v>9656</v>
      </c>
      <c r="D4" t="s">
        <v>15296</v>
      </c>
      <c r="F4">
        <v>1327.5</v>
      </c>
      <c r="G4">
        <v>1010.42</v>
      </c>
      <c r="H4">
        <v>1297.5</v>
      </c>
      <c r="I4">
        <v>1475.85</v>
      </c>
      <c r="J4">
        <v>0</v>
      </c>
      <c r="K4">
        <v>0</v>
      </c>
      <c r="L4">
        <v>0</v>
      </c>
      <c r="M4">
        <v>0</v>
      </c>
      <c r="N4">
        <v>688.2</v>
      </c>
      <c r="O4">
        <v>379.95</v>
      </c>
      <c r="P4">
        <v>821.4</v>
      </c>
      <c r="Q4">
        <v>1060.3</v>
      </c>
      <c r="R4">
        <v>0</v>
      </c>
      <c r="S4">
        <v>0</v>
      </c>
      <c r="T4">
        <v>0</v>
      </c>
      <c r="U4">
        <v>0</v>
      </c>
      <c r="V4">
        <v>165</v>
      </c>
      <c r="W4">
        <v>243.5</v>
      </c>
      <c r="X4">
        <v>330</v>
      </c>
      <c r="Y4">
        <v>335</v>
      </c>
      <c r="Z4">
        <v>0.76114500941619578</v>
      </c>
      <c r="AA4">
        <v>1.1374566473988439</v>
      </c>
      <c r="AB4">
        <v>-99</v>
      </c>
      <c r="AC4">
        <v>-99</v>
      </c>
      <c r="AD4">
        <v>0.55209241499564077</v>
      </c>
      <c r="AE4">
        <v>1.290844898953007</v>
      </c>
      <c r="AF4">
        <v>-99</v>
      </c>
      <c r="AG4">
        <v>-99</v>
      </c>
      <c r="AH4">
        <v>1.4757575757575758</v>
      </c>
      <c r="AI4">
        <v>1.0151515151515151</v>
      </c>
      <c r="AJ4">
        <v>441</v>
      </c>
      <c r="AK4">
        <v>3.1527664399092967</v>
      </c>
      <c r="AL4">
        <v>5.7509070294784577</v>
      </c>
      <c r="AM4">
        <v>0</v>
      </c>
      <c r="AN4">
        <v>0</v>
      </c>
      <c r="AO4">
        <v>0.55215419501133789</v>
      </c>
      <c r="AP4">
        <v>0.75963718820861681</v>
      </c>
      <c r="AQ4">
        <v>10.215464852607708</v>
      </c>
      <c r="AR4" t="str">
        <f>IF(A4="","",(IF(ISBLANK('Trust - Frontsheet'!$F$9),"",'Trust - Frontsheet'!$F$9)))</f>
        <v>www.combined.nhs.uk</v>
      </c>
    </row>
    <row r="5" spans="1:44" x14ac:dyDescent="0.2">
      <c r="A5" t="s">
        <v>2488</v>
      </c>
      <c r="B5" t="s">
        <v>2489</v>
      </c>
      <c r="C5" t="s">
        <v>9657</v>
      </c>
      <c r="D5" t="s">
        <v>15308</v>
      </c>
      <c r="F5">
        <v>1492.5</v>
      </c>
      <c r="G5">
        <v>909.6</v>
      </c>
      <c r="H5">
        <v>1627.5</v>
      </c>
      <c r="I5">
        <v>2091.88</v>
      </c>
      <c r="J5">
        <v>0</v>
      </c>
      <c r="K5">
        <v>0</v>
      </c>
      <c r="L5">
        <v>0</v>
      </c>
      <c r="M5">
        <v>0</v>
      </c>
      <c r="N5">
        <v>344.1</v>
      </c>
      <c r="O5">
        <v>344.7</v>
      </c>
      <c r="P5">
        <v>1376.4</v>
      </c>
      <c r="Q5">
        <v>1186.97</v>
      </c>
      <c r="R5">
        <v>0</v>
      </c>
      <c r="S5">
        <v>0</v>
      </c>
      <c r="T5">
        <v>0</v>
      </c>
      <c r="U5">
        <v>0</v>
      </c>
      <c r="V5">
        <v>195</v>
      </c>
      <c r="W5">
        <v>444.75</v>
      </c>
      <c r="X5">
        <v>510</v>
      </c>
      <c r="Y5">
        <v>271.5</v>
      </c>
      <c r="Z5">
        <v>0.60944723618090457</v>
      </c>
      <c r="AA5">
        <v>1.2853333333333334</v>
      </c>
      <c r="AB5">
        <v>-99</v>
      </c>
      <c r="AC5">
        <v>-99</v>
      </c>
      <c r="AD5">
        <v>1.0017436791630339</v>
      </c>
      <c r="AE5">
        <v>0.86237285672769537</v>
      </c>
      <c r="AF5">
        <v>-99</v>
      </c>
      <c r="AG5">
        <v>-99</v>
      </c>
      <c r="AH5">
        <v>2.2807692307692307</v>
      </c>
      <c r="AI5">
        <v>0.53235294117647058</v>
      </c>
      <c r="AJ5">
        <v>438</v>
      </c>
      <c r="AK5">
        <v>2.863698630136986</v>
      </c>
      <c r="AL5">
        <v>7.48595890410959</v>
      </c>
      <c r="AM5">
        <v>0</v>
      </c>
      <c r="AN5">
        <v>0</v>
      </c>
      <c r="AO5">
        <v>1.0154109589041096</v>
      </c>
      <c r="AP5">
        <v>0.61986301369863017</v>
      </c>
      <c r="AQ5">
        <v>11.984931506849314</v>
      </c>
      <c r="AR5" t="str">
        <f>IF(A5="","",(IF(ISBLANK('Trust - Frontsheet'!$F$9),"",'Trust - Frontsheet'!$F$9)))</f>
        <v>www.combined.nhs.uk</v>
      </c>
    </row>
    <row r="6" spans="1:44" x14ac:dyDescent="0.2">
      <c r="A6" t="s">
        <v>2488</v>
      </c>
      <c r="B6" t="s">
        <v>2489</v>
      </c>
      <c r="C6" t="s">
        <v>9650</v>
      </c>
      <c r="D6" t="s">
        <v>15308</v>
      </c>
      <c r="F6">
        <v>1327.5</v>
      </c>
      <c r="G6">
        <v>1065.48</v>
      </c>
      <c r="H6">
        <v>2377.5</v>
      </c>
      <c r="I6">
        <v>2236.9499999999998</v>
      </c>
      <c r="J6">
        <v>0</v>
      </c>
      <c r="K6">
        <v>0</v>
      </c>
      <c r="L6">
        <v>0</v>
      </c>
      <c r="M6">
        <v>0</v>
      </c>
      <c r="N6">
        <v>688.2</v>
      </c>
      <c r="O6">
        <v>417.95</v>
      </c>
      <c r="P6">
        <v>1931.4</v>
      </c>
      <c r="Q6">
        <v>1950.15</v>
      </c>
      <c r="R6">
        <v>0</v>
      </c>
      <c r="S6">
        <v>0</v>
      </c>
      <c r="T6">
        <v>0</v>
      </c>
      <c r="U6">
        <v>0</v>
      </c>
      <c r="V6">
        <v>264</v>
      </c>
      <c r="W6">
        <v>228.33</v>
      </c>
      <c r="X6">
        <v>330</v>
      </c>
      <c r="Y6">
        <v>120.08</v>
      </c>
      <c r="Z6">
        <v>0.80262146892655373</v>
      </c>
      <c r="AA6">
        <v>0.94088328075709771</v>
      </c>
      <c r="AB6">
        <v>-99</v>
      </c>
      <c r="AC6">
        <v>-99</v>
      </c>
      <c r="AD6">
        <v>0.60730892182505081</v>
      </c>
      <c r="AE6">
        <v>1.0097079838459149</v>
      </c>
      <c r="AF6">
        <v>-99</v>
      </c>
      <c r="AG6">
        <v>-99</v>
      </c>
      <c r="AH6">
        <v>0.86488636363636373</v>
      </c>
      <c r="AI6">
        <v>0.36387878787878786</v>
      </c>
      <c r="AJ6">
        <v>210</v>
      </c>
      <c r="AK6">
        <v>7.0639523809523812</v>
      </c>
      <c r="AL6">
        <v>19.938571428571429</v>
      </c>
      <c r="AM6">
        <v>0</v>
      </c>
      <c r="AN6">
        <v>0</v>
      </c>
      <c r="AO6">
        <v>1.0872857142857144</v>
      </c>
      <c r="AP6">
        <v>0.57180952380952377</v>
      </c>
      <c r="AQ6">
        <v>28.661619047619045</v>
      </c>
      <c r="AR6" t="str">
        <f>IF(A6="","",(IF(ISBLANK('Trust - Frontsheet'!$F$9),"",'Trust - Frontsheet'!$F$9)))</f>
        <v>www.combined.nhs.uk</v>
      </c>
    </row>
    <row r="7" spans="1:44" x14ac:dyDescent="0.2">
      <c r="A7" t="s">
        <v>2488</v>
      </c>
      <c r="B7" t="s">
        <v>2489</v>
      </c>
      <c r="C7" t="s">
        <v>9687</v>
      </c>
      <c r="D7" t="s">
        <v>15308</v>
      </c>
      <c r="F7">
        <v>1179</v>
      </c>
      <c r="G7">
        <v>963.08</v>
      </c>
      <c r="H7">
        <v>2092.5</v>
      </c>
      <c r="I7">
        <v>1931.53</v>
      </c>
      <c r="J7">
        <v>148.5</v>
      </c>
      <c r="K7">
        <v>148.5</v>
      </c>
      <c r="L7">
        <v>0</v>
      </c>
      <c r="M7">
        <v>0</v>
      </c>
      <c r="N7">
        <v>688.2</v>
      </c>
      <c r="O7">
        <v>479.1</v>
      </c>
      <c r="P7">
        <v>1376.4</v>
      </c>
      <c r="Q7">
        <v>1487.4</v>
      </c>
      <c r="R7">
        <v>0</v>
      </c>
      <c r="S7">
        <v>0</v>
      </c>
      <c r="T7">
        <v>0</v>
      </c>
      <c r="U7">
        <v>0</v>
      </c>
      <c r="V7">
        <v>165</v>
      </c>
      <c r="W7">
        <v>131.5</v>
      </c>
      <c r="X7">
        <v>495</v>
      </c>
      <c r="Y7">
        <v>388.75</v>
      </c>
      <c r="Z7">
        <v>0.81686174724342664</v>
      </c>
      <c r="AA7">
        <v>0.92307287933094384</v>
      </c>
      <c r="AB7">
        <v>1</v>
      </c>
      <c r="AC7">
        <v>-99</v>
      </c>
      <c r="AD7">
        <v>0.69616390584132515</v>
      </c>
      <c r="AE7">
        <v>1.0806451612903225</v>
      </c>
      <c r="AF7">
        <v>-99</v>
      </c>
      <c r="AG7">
        <v>-99</v>
      </c>
      <c r="AH7">
        <v>0.79696969696969699</v>
      </c>
      <c r="AI7">
        <v>0.78535353535353536</v>
      </c>
      <c r="AJ7">
        <v>396</v>
      </c>
      <c r="AK7">
        <v>3.6418686868686869</v>
      </c>
      <c r="AL7">
        <v>8.6336616161616178</v>
      </c>
      <c r="AM7">
        <v>0.375</v>
      </c>
      <c r="AN7">
        <v>0</v>
      </c>
      <c r="AO7">
        <v>0.33207070707070707</v>
      </c>
      <c r="AP7">
        <v>0.98169191919191923</v>
      </c>
      <c r="AQ7">
        <v>13.964292929292931</v>
      </c>
      <c r="AR7" t="str">
        <f>IF(A7="","",(IF(ISBLANK('Trust - Frontsheet'!$F$9),"",'Trust - Frontsheet'!$F$9)))</f>
        <v>www.combined.nhs.uk</v>
      </c>
    </row>
    <row r="8" spans="1:44" x14ac:dyDescent="0.2">
      <c r="A8" t="s">
        <v>2488</v>
      </c>
      <c r="B8" t="s">
        <v>2489</v>
      </c>
      <c r="C8" t="s">
        <v>9688</v>
      </c>
      <c r="D8" t="s">
        <v>15308</v>
      </c>
      <c r="F8">
        <v>1327.5</v>
      </c>
      <c r="G8">
        <v>977.67</v>
      </c>
      <c r="H8">
        <v>1162.5</v>
      </c>
      <c r="I8">
        <v>1407.47</v>
      </c>
      <c r="J8">
        <v>0</v>
      </c>
      <c r="K8">
        <v>0</v>
      </c>
      <c r="L8">
        <v>0</v>
      </c>
      <c r="M8">
        <v>0</v>
      </c>
      <c r="N8">
        <v>344.1</v>
      </c>
      <c r="O8">
        <v>348.6</v>
      </c>
      <c r="P8">
        <v>688.2</v>
      </c>
      <c r="Q8">
        <v>977.6</v>
      </c>
      <c r="R8">
        <v>0</v>
      </c>
      <c r="S8">
        <v>0</v>
      </c>
      <c r="T8">
        <v>0</v>
      </c>
      <c r="U8">
        <v>0</v>
      </c>
      <c r="V8">
        <v>255</v>
      </c>
      <c r="W8">
        <v>405</v>
      </c>
      <c r="X8">
        <v>495</v>
      </c>
      <c r="Y8">
        <v>330</v>
      </c>
      <c r="Z8">
        <v>0.7364745762711864</v>
      </c>
      <c r="AA8">
        <v>1.2107268817204302</v>
      </c>
      <c r="AB8">
        <v>-99</v>
      </c>
      <c r="AC8">
        <v>-99</v>
      </c>
      <c r="AD8">
        <v>1.013077593722755</v>
      </c>
      <c r="AE8">
        <v>1.4205172914850333</v>
      </c>
      <c r="AF8">
        <v>-99</v>
      </c>
      <c r="AG8">
        <v>-99</v>
      </c>
      <c r="AH8">
        <v>1.588235294117647</v>
      </c>
      <c r="AI8">
        <v>0.66666666666666663</v>
      </c>
      <c r="AJ8">
        <v>492</v>
      </c>
      <c r="AK8">
        <v>2.6956707317073172</v>
      </c>
      <c r="AL8">
        <v>4.8477032520325203</v>
      </c>
      <c r="AM8">
        <v>0</v>
      </c>
      <c r="AN8">
        <v>0</v>
      </c>
      <c r="AO8">
        <v>0.82317073170731703</v>
      </c>
      <c r="AP8">
        <v>0.67073170731707321</v>
      </c>
      <c r="AQ8">
        <v>9.0372764227642275</v>
      </c>
      <c r="AR8" t="str">
        <f>IF(A8="","",(IF(ISBLANK('Trust - Frontsheet'!$F$9),"",'Trust - Frontsheet'!$F$9)))</f>
        <v>www.combined.nhs.uk</v>
      </c>
    </row>
    <row r="9" spans="1:44" x14ac:dyDescent="0.2">
      <c r="A9" t="s">
        <v>2488</v>
      </c>
      <c r="B9" t="s">
        <v>2489</v>
      </c>
      <c r="C9" t="s">
        <v>12403</v>
      </c>
      <c r="D9" t="s">
        <v>15293</v>
      </c>
      <c r="F9">
        <v>928.5</v>
      </c>
      <c r="G9">
        <v>827.5</v>
      </c>
      <c r="H9">
        <v>1162.5</v>
      </c>
      <c r="I9">
        <v>1551.75</v>
      </c>
      <c r="J9">
        <v>0</v>
      </c>
      <c r="K9">
        <v>0</v>
      </c>
      <c r="L9">
        <v>0</v>
      </c>
      <c r="M9">
        <v>0</v>
      </c>
      <c r="N9">
        <v>688.2</v>
      </c>
      <c r="O9">
        <v>356.1</v>
      </c>
      <c r="P9">
        <v>1376.4</v>
      </c>
      <c r="Q9">
        <v>1732.9</v>
      </c>
      <c r="R9">
        <v>0</v>
      </c>
      <c r="S9">
        <v>0</v>
      </c>
      <c r="T9">
        <v>0</v>
      </c>
      <c r="U9">
        <v>0</v>
      </c>
      <c r="V9">
        <v>165</v>
      </c>
      <c r="W9">
        <v>165</v>
      </c>
      <c r="X9">
        <v>165</v>
      </c>
      <c r="Y9">
        <v>165</v>
      </c>
      <c r="Z9">
        <v>0.89122240172320943</v>
      </c>
      <c r="AA9">
        <v>1.3348387096774192</v>
      </c>
      <c r="AB9">
        <v>-99</v>
      </c>
      <c r="AC9">
        <v>-99</v>
      </c>
      <c r="AD9">
        <v>0.51743679163034006</v>
      </c>
      <c r="AE9">
        <v>1.2590090090090089</v>
      </c>
      <c r="AF9">
        <v>-99</v>
      </c>
      <c r="AG9">
        <v>-99</v>
      </c>
      <c r="AH9">
        <v>1</v>
      </c>
      <c r="AI9">
        <v>1</v>
      </c>
      <c r="AJ9">
        <v>155</v>
      </c>
      <c r="AK9">
        <v>7.6361290322580642</v>
      </c>
      <c r="AL9">
        <v>21.191290322580645</v>
      </c>
      <c r="AM9">
        <v>0</v>
      </c>
      <c r="AN9">
        <v>0</v>
      </c>
      <c r="AO9">
        <v>1.064516129032258</v>
      </c>
      <c r="AP9">
        <v>1.064516129032258</v>
      </c>
      <c r="AQ9">
        <v>30.956451612903226</v>
      </c>
      <c r="AR9" t="str">
        <f>IF(A9="","",(IF(ISBLANK('Trust - Frontsheet'!$F$9),"",'Trust - Frontsheet'!$F$9)))</f>
        <v>www.combined.nhs.uk</v>
      </c>
    </row>
    <row r="10" spans="1:44" x14ac:dyDescent="0.2">
      <c r="A10" t="s">
        <v>2488</v>
      </c>
      <c r="B10" t="s">
        <v>2489</v>
      </c>
      <c r="C10" t="s">
        <v>12404</v>
      </c>
      <c r="D10" t="s">
        <v>15296</v>
      </c>
      <c r="F10">
        <v>955.5</v>
      </c>
      <c r="G10">
        <v>846.5</v>
      </c>
      <c r="H10">
        <v>1162.5</v>
      </c>
      <c r="I10">
        <v>711.25</v>
      </c>
      <c r="J10">
        <v>0</v>
      </c>
      <c r="K10">
        <v>0</v>
      </c>
      <c r="L10">
        <v>0</v>
      </c>
      <c r="M10">
        <v>0</v>
      </c>
      <c r="N10">
        <v>344.1</v>
      </c>
      <c r="O10">
        <v>368.1</v>
      </c>
      <c r="P10">
        <v>688.2</v>
      </c>
      <c r="Q10">
        <v>533.70000000000005</v>
      </c>
      <c r="R10">
        <v>0</v>
      </c>
      <c r="S10">
        <v>0</v>
      </c>
      <c r="T10">
        <v>0</v>
      </c>
      <c r="U10">
        <v>0</v>
      </c>
      <c r="V10">
        <v>0</v>
      </c>
      <c r="W10">
        <v>0</v>
      </c>
      <c r="X10">
        <v>0</v>
      </c>
      <c r="Y10">
        <v>0</v>
      </c>
      <c r="Z10">
        <v>0.88592360020931449</v>
      </c>
      <c r="AA10">
        <v>0.6118279569892473</v>
      </c>
      <c r="AB10">
        <v>-99</v>
      </c>
      <c r="AC10">
        <v>-99</v>
      </c>
      <c r="AD10">
        <v>1.06974716652136</v>
      </c>
      <c r="AE10">
        <v>0.77550130775937232</v>
      </c>
      <c r="AF10">
        <v>-99</v>
      </c>
      <c r="AG10">
        <v>-99</v>
      </c>
      <c r="AH10">
        <v>-99</v>
      </c>
      <c r="AI10">
        <v>-99</v>
      </c>
      <c r="AJ10">
        <v>276</v>
      </c>
      <c r="AK10">
        <v>4.4007246376811588</v>
      </c>
      <c r="AL10">
        <v>4.5106884057971017</v>
      </c>
      <c r="AM10">
        <v>0</v>
      </c>
      <c r="AN10">
        <v>0</v>
      </c>
      <c r="AO10">
        <v>0</v>
      </c>
      <c r="AP10">
        <v>0</v>
      </c>
      <c r="AQ10">
        <v>8.9114130434782624</v>
      </c>
      <c r="AR10" t="str">
        <f>IF(A10="","",(IF(ISBLANK('Trust - Frontsheet'!$F$9),"",'Trust - Frontsheet'!$F$9)))</f>
        <v>www.combined.nhs.uk</v>
      </c>
    </row>
    <row r="11" spans="1:44" x14ac:dyDescent="0.2">
      <c r="A11" t="s">
        <v>2476</v>
      </c>
      <c r="B11" t="s">
        <v>2477</v>
      </c>
      <c r="C11" t="s">
        <v>12402</v>
      </c>
      <c r="D11" t="s">
        <v>15299</v>
      </c>
      <c r="F11">
        <v>1327.5</v>
      </c>
      <c r="G11">
        <v>900.75</v>
      </c>
      <c r="H11">
        <v>2842.5</v>
      </c>
      <c r="I11">
        <v>1914.25</v>
      </c>
      <c r="J11">
        <v>0</v>
      </c>
      <c r="K11">
        <v>0</v>
      </c>
      <c r="L11">
        <v>0</v>
      </c>
      <c r="M11">
        <v>0</v>
      </c>
      <c r="N11">
        <v>688.2</v>
      </c>
      <c r="O11">
        <v>410.7</v>
      </c>
      <c r="P11">
        <v>1720.5</v>
      </c>
      <c r="Q11">
        <v>1462.65</v>
      </c>
      <c r="R11">
        <v>0</v>
      </c>
      <c r="S11">
        <v>0</v>
      </c>
      <c r="T11">
        <v>0</v>
      </c>
      <c r="U11">
        <v>0</v>
      </c>
      <c r="V11">
        <v>598.48</v>
      </c>
      <c r="W11">
        <v>395</v>
      </c>
      <c r="X11">
        <v>165</v>
      </c>
      <c r="Y11">
        <v>0</v>
      </c>
      <c r="Z11">
        <v>0.67853107344632768</v>
      </c>
      <c r="AA11">
        <v>0.67343887423043092</v>
      </c>
      <c r="AB11">
        <v>-99</v>
      </c>
      <c r="AC11">
        <v>-99</v>
      </c>
      <c r="AD11">
        <v>0.59677419354838701</v>
      </c>
      <c r="AE11">
        <v>0.85013077593722763</v>
      </c>
      <c r="AF11">
        <v>-99</v>
      </c>
      <c r="AG11">
        <v>-99</v>
      </c>
      <c r="AH11">
        <v>0.66000534687875956</v>
      </c>
      <c r="AI11">
        <v>0</v>
      </c>
      <c r="AJ11">
        <v>317</v>
      </c>
      <c r="AK11">
        <v>4.1370662460567829</v>
      </c>
      <c r="AL11">
        <v>10.652681388012619</v>
      </c>
      <c r="AM11">
        <v>0</v>
      </c>
      <c r="AN11">
        <v>0</v>
      </c>
      <c r="AO11">
        <v>1.2460567823343849</v>
      </c>
      <c r="AP11">
        <v>0</v>
      </c>
      <c r="AQ11">
        <v>16.035804416403785</v>
      </c>
      <c r="AR11" t="str">
        <f>IF(A11="","",(IF(ISBLANK('Trust - Frontsheet'!$F$9),"",'Trust - Frontsheet'!$F$9)))</f>
        <v>www.combined.nhs.uk</v>
      </c>
    </row>
    <row r="12" spans="1:44" x14ac:dyDescent="0.2">
      <c r="A12" t="s">
        <v>2504</v>
      </c>
      <c r="B12" t="s">
        <v>2505</v>
      </c>
      <c r="C12" t="s">
        <v>12405</v>
      </c>
      <c r="D12" t="s">
        <v>15296</v>
      </c>
      <c r="F12">
        <v>930</v>
      </c>
      <c r="G12">
        <v>623</v>
      </c>
      <c r="H12">
        <v>930</v>
      </c>
      <c r="I12">
        <v>1103.25</v>
      </c>
      <c r="J12">
        <v>0</v>
      </c>
      <c r="K12">
        <v>0</v>
      </c>
      <c r="L12">
        <v>0</v>
      </c>
      <c r="M12">
        <v>0</v>
      </c>
      <c r="N12">
        <v>332.32</v>
      </c>
      <c r="O12">
        <v>343.68</v>
      </c>
      <c r="P12">
        <v>664.64</v>
      </c>
      <c r="Q12">
        <v>653.35</v>
      </c>
      <c r="R12">
        <v>0</v>
      </c>
      <c r="S12">
        <v>0</v>
      </c>
      <c r="T12">
        <v>0</v>
      </c>
      <c r="U12">
        <v>0</v>
      </c>
      <c r="V12">
        <v>165</v>
      </c>
      <c r="W12">
        <v>144.5</v>
      </c>
      <c r="X12">
        <v>165</v>
      </c>
      <c r="Y12">
        <v>0</v>
      </c>
      <c r="Z12">
        <v>0.6698924731182796</v>
      </c>
      <c r="AA12">
        <v>1.1862903225806452</v>
      </c>
      <c r="AB12">
        <v>-99</v>
      </c>
      <c r="AC12">
        <v>-99</v>
      </c>
      <c r="AD12">
        <v>1.0341839191141069</v>
      </c>
      <c r="AE12">
        <v>0.98301336061627353</v>
      </c>
      <c r="AF12">
        <v>-99</v>
      </c>
      <c r="AG12">
        <v>-99</v>
      </c>
      <c r="AH12">
        <v>0.87575757575757573</v>
      </c>
      <c r="AI12">
        <v>0</v>
      </c>
      <c r="AJ12">
        <v>289</v>
      </c>
      <c r="AK12">
        <v>3.3449134948096888</v>
      </c>
      <c r="AL12">
        <v>6.0782006920415226</v>
      </c>
      <c r="AM12">
        <v>0</v>
      </c>
      <c r="AN12">
        <v>0</v>
      </c>
      <c r="AO12">
        <v>0.5</v>
      </c>
      <c r="AP12">
        <v>0</v>
      </c>
      <c r="AQ12">
        <v>9.9231141868512101</v>
      </c>
      <c r="AR12" t="str">
        <f>IF(A12="","",(IF(ISBLANK('Trust - Frontsheet'!$F$9),"",'Trust - Frontsheet'!$F$9)))</f>
        <v>www.combined.nhs.uk</v>
      </c>
    </row>
    <row r="13" spans="1:44" x14ac:dyDescent="0.2">
      <c r="A13" t="s">
        <v>2488</v>
      </c>
      <c r="B13" t="s">
        <v>2489</v>
      </c>
      <c r="C13" t="s">
        <v>9645</v>
      </c>
      <c r="D13" t="s">
        <v>15296</v>
      </c>
      <c r="F13">
        <v>1002</v>
      </c>
      <c r="G13">
        <v>1182</v>
      </c>
      <c r="H13">
        <v>1837.5</v>
      </c>
      <c r="I13">
        <v>1692.5</v>
      </c>
      <c r="J13">
        <v>0</v>
      </c>
      <c r="K13">
        <v>0</v>
      </c>
      <c r="L13">
        <v>0</v>
      </c>
      <c r="M13">
        <v>0</v>
      </c>
      <c r="N13">
        <v>688.2</v>
      </c>
      <c r="O13">
        <v>567.1</v>
      </c>
      <c r="P13">
        <v>1531.8</v>
      </c>
      <c r="Q13">
        <v>1394.15</v>
      </c>
      <c r="R13">
        <v>0</v>
      </c>
      <c r="S13">
        <v>0</v>
      </c>
      <c r="T13">
        <v>0</v>
      </c>
      <c r="U13">
        <v>0</v>
      </c>
      <c r="V13">
        <v>232.5</v>
      </c>
      <c r="W13">
        <v>90</v>
      </c>
      <c r="X13">
        <v>232.5</v>
      </c>
      <c r="Y13">
        <v>127.5</v>
      </c>
      <c r="Z13">
        <v>1.1796407185628743</v>
      </c>
      <c r="AA13">
        <v>0.92108843537414964</v>
      </c>
      <c r="AB13">
        <v>-99</v>
      </c>
      <c r="AC13">
        <v>-99</v>
      </c>
      <c r="AD13">
        <v>0.82403371113048529</v>
      </c>
      <c r="AE13">
        <v>0.91013839926883411</v>
      </c>
      <c r="AF13">
        <v>-99</v>
      </c>
      <c r="AG13">
        <v>-99</v>
      </c>
      <c r="AH13">
        <v>0.38709677419354838</v>
      </c>
      <c r="AI13">
        <v>0.54838709677419351</v>
      </c>
      <c r="AJ13">
        <v>136</v>
      </c>
      <c r="AK13">
        <v>12.861029411764704</v>
      </c>
      <c r="AL13">
        <v>22.695955882352941</v>
      </c>
      <c r="AM13">
        <v>0</v>
      </c>
      <c r="AN13">
        <v>0</v>
      </c>
      <c r="AO13">
        <v>0.66176470588235292</v>
      </c>
      <c r="AP13">
        <v>0.9375</v>
      </c>
      <c r="AQ13">
        <v>37.15625</v>
      </c>
      <c r="AR13" t="str">
        <f>IF(A13="","",(IF(ISBLANK('Trust - Frontsheet'!$F$9),"",'Trust - Frontsheet'!$F$9)))</f>
        <v>www.combined.nhs.uk</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schemas.openxmlformats.org/package/2006/metadata/core-properties"/>
    <ds:schemaRef ds:uri="633d6341-889e-4b5f-9e80-3947d34778b7"/>
    <ds:schemaRef ds:uri="http://purl.org/dc/dcmitype/"/>
    <ds:schemaRef ds:uri="http://schemas.microsoft.com/office/infopath/2007/PartnerControls"/>
    <ds:schemaRef ds:uri="32eb6925-5645-41a1-99e0-47ece1c4f54b"/>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2021-09-21T13:46:08Z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